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tables/table2.xml" ContentType="application/vnd.openxmlformats-officedocument.spreadsheetml.table+xml"/>
  <Override PartName="/xl/tables/table1.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ésultat" sheetId="1" state="visible" r:id="rId3"/>
    <sheet name="Entreprise" sheetId="2" state="visible" r:id="rId4"/>
    <sheet name="Questionnaire" sheetId="3" state="visible" r:id="rId5"/>
    <sheet name="Plan action" sheetId="4" state="visible" r:id="rId6"/>
    <sheet name="Barèmes" sheetId="5" state="visible" r:id="rId7"/>
    <sheet name="Paliers" sheetId="6" state="visible" r:id="rId8"/>
    <sheet name="Repères" sheetId="7" state="visible" r:id="rId9"/>
    <sheet name="Méthode" sheetId="8" state="visible" r:id="rId10"/>
    <sheet name="Sources" sheetId="9" state="visible" r:id="rId11"/>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<sst xmlns="http://schemas.openxmlformats.org/spreadsheetml/2006/main" count="2288" uniqueCount="892">
  <si>
    <t xml:space="preserve">MON COPAIN CYBER · Maturité TPE / PME</t>
  </si>
  <si>
    <t xml:space="preserve">Complétez Entreprise puis Questionnaire. Les résultats et les six premières actions s’actualisent automatiquement.</t>
  </si>
  <si>
    <t xml:space="preserve">Score conservateur /100</t>
  </si>
  <si>
    <t xml:space="preserve">Renseigné</t>
  </si>
  <si>
    <t xml:space="preserve">Inconnus</t>
  </si>
  <si>
    <t xml:space="preserve">Critiques à traiter / vérifier</t>
  </si>
  <si>
    <t xml:space="preserve">Lacunes critiques déclarées</t>
  </si>
  <si>
    <t xml:space="preserve">Critiques non vérifiés</t>
  </si>
  <si>
    <t xml:space="preserve">Contrôles retenus</t>
  </si>
  <si>
    <t xml:space="preserve">Exclus</t>
  </si>
  <si>
    <t xml:space="preserve">À préciser</t>
  </si>
  <si>
    <t xml:space="preserve">Domaine</t>
  </si>
  <si>
    <t xml:space="preserve">Score /100</t>
  </si>
  <si>
    <t xml:space="preserve">Critiques</t>
  </si>
  <si>
    <t xml:space="preserve">Connus</t>
  </si>
  <si>
    <t xml:space="preserve">Poids retenu</t>
  </si>
  <si>
    <t xml:space="preserve">Écart pondéré</t>
  </si>
  <si>
    <t xml:space="preserve">Lire la note avec la complétude. Une case vide signifie que le domaine n’a pas encore de réponse ou est hors périmètre. Les inconnus ne rapportent aucun point.</t>
  </si>
  <si>
    <t xml:space="preserve">Pilotage et risques</t>
  </si>
  <si>
    <t xml:space="preserve">Inventaire et dépendances</t>
  </si>
  <si>
    <t xml:space="preserve">Comptes et authentification</t>
  </si>
  <si>
    <t xml:space="preserve">Droits et cycle des accès</t>
  </si>
  <si>
    <t xml:space="preserve">Postes et mobiles</t>
  </si>
  <si>
    <t xml:space="preserve">Réseau et accès distants</t>
  </si>
  <si>
    <t xml:space="preserve">Une bonne moyenne ne neutralise pas une lacune critique. Consulter en priorité les contrôles marqués P1, puis confirmer les preuves et le plan d’action.</t>
  </si>
  <si>
    <t xml:space="preserve">Messagerie et fraudes</t>
  </si>
  <si>
    <t xml:space="preserve">Sauvegardes et restauration</t>
  </si>
  <si>
    <t xml:space="preserve">Données et confidentialité</t>
  </si>
  <si>
    <t xml:space="preserve">Prestataires et cloud</t>
  </si>
  <si>
    <t xml:space="preserve">Web et réputation</t>
  </si>
  <si>
    <t xml:space="preserve">Équipes et usages</t>
  </si>
  <si>
    <t xml:space="preserve">Les explications métier et bénéfices par domaine figurent dans Repères.</t>
  </si>
  <si>
    <t xml:space="preserve">Détection et incidents</t>
  </si>
  <si>
    <t xml:space="preserve">Continuité et reprise</t>
  </si>
  <si>
    <t xml:space="preserve">Six premières actions proposées</t>
  </si>
  <si>
    <t xml:space="preserve">Identifiant</t>
  </si>
  <si>
    <t xml:space="preserve">Priorité</t>
  </si>
  <si>
    <t xml:space="preserve">Action proposée</t>
  </si>
  <si>
    <t xml:space="preserve">Les lignes non évaluées peuvent apparaître en priorité comme vérifications. Ce classement est un point de départ à arbitrer avec le dirigeant ; il ne remplace pas l’ensemble des actions P1.</t>
  </si>
  <si>
    <t xml:space="preserve">Lecture selon les six thèmes de MonAideCyber</t>
  </si>
  <si>
    <t xml:space="preserve">Thème</t>
  </si>
  <si>
    <t xml:space="preserve">Gouvernance</t>
  </si>
  <si>
    <t xml:space="preserve">Accès</t>
  </si>
  <si>
    <t xml:space="preserve">Postes</t>
  </si>
  <si>
    <t xml:space="preserve">Infrastructure</t>
  </si>
  <si>
    <t xml:space="preserve">Humain</t>
  </si>
  <si>
    <t xml:space="preserve">Réaction</t>
  </si>
  <si>
    <t xml:space="preserve">Thèmes regroupés pour faciliter la lecture. Le questionnaire, les poids et la note de ce fichier restent propres à Mon Copain Cyber.</t>
  </si>
  <si>
    <t xml:space="preserve">Votre palier · ce que vous gagnez à progresser</t>
  </si>
  <si>
    <t xml:space="preserve">Palier atteint</t>
  </si>
  <si>
    <t xml:space="preserve">Pour le palier suivant</t>
  </si>
  <si>
    <t xml:space="preserve">Ce que cela veut dire</t>
  </si>
  <si>
    <t xml:space="preserve">Risques si vous en restez là</t>
  </si>
  <si>
    <t xml:space="preserve">Le détail des cinq paliers, les règles de lecture et les leviers figurent dans la feuille Paliers. Une alerte critique se traite avant de viser un palier supérieur.</t>
  </si>
  <si>
    <t xml:space="preserve">Commencez par les actions qui protègent l’activité : accès sensibles, sauvegardes isolées et testées, mises à jour et procédure d’alerte. Renseignez ensuite responsables et échéances dans Plan action.</t>
  </si>
  <si>
    <t xml:space="preserve">Outil pédagogique d’auto-évaluation. Il ne certifie pas la sécurité réelle ni la conformité réglementaire de l’entreprise et ne constitue pas un diagnostic officiel MonAideCyber.</t>
  </si>
  <si>
    <t xml:space="preserve">MON COPAIN CYBER · Votre entreprise</t>
  </si>
  <si>
    <t xml:space="preserve">Commencez ici, puis répondez dans Questionnaire. Les cellules jaunes sont à renseigner.</t>
  </si>
  <si>
    <t xml:space="preserve">Raison sociale</t>
  </si>
  <si>
    <t xml:space="preserve">Public : indépendants, TPE et PME. Ajustez le périmètre réel. Les ETI, grands groupes et institutions ne sont pas couverts.</t>
  </si>
  <si>
    <t xml:space="preserve">Activité / métier</t>
  </si>
  <si>
    <t xml:space="preserve">Commune / sites concernés</t>
  </si>
  <si>
    <t xml:space="preserve">Effectif (information de contexte)</t>
  </si>
  <si>
    <t xml:space="preserve">Référent / fonction</t>
  </si>
  <si>
    <t xml:space="preserve">Complet : 112 contrôles. Essentiel : un premier passage sur les mesures prioritaires. Terminez ensuite le parcours complet. Les deux scores ne sont pas directement comparables.</t>
  </si>
  <si>
    <t xml:space="preserve">Coordonnées professionnelles (facultatif)</t>
  </si>
  <si>
    <t xml:space="preserve">Date de l’évaluation</t>
  </si>
  <si>
    <t xml:space="preserve">Évaluateur / personnes interrogées</t>
  </si>
  <si>
    <t xml:space="preserve">Parcours</t>
  </si>
  <si>
    <t xml:space="preserve">Complet</t>
  </si>
  <si>
    <t xml:space="preserve">Conservez le fichier renseigné dans l’entreprise. Il ne contient aucun mot de passe ni secret technique. Il ne transmet pas automatiquement les réponses.</t>
  </si>
  <si>
    <t xml:space="preserve">Prochaine revue prévue</t>
  </si>
  <si>
    <t xml:space="preserve">Périmètre / outils essentiels</t>
  </si>
  <si>
    <t xml:space="preserve">Vos usages déterminent les questions retenues</t>
  </si>
  <si>
    <t xml:space="preserve">Usage</t>
  </si>
  <si>
    <t xml:space="preserve">Présent dans l’entreprise ?</t>
  </si>
  <si>
    <t xml:space="preserve">Toute entreprise numérique</t>
  </si>
  <si>
    <t xml:space="preserve">Oui</t>
  </si>
  <si>
    <t xml:space="preserve">« Non » exclut automatiquement les contrôles liés à cet usage. « À confirmer » les conserve par prudence. Une prestation externalisée reste dans le périmètre lorsque vous utilisez le service.</t>
  </si>
  <si>
    <t xml:space="preserve">Plusieurs utilisateurs, salariés ou intervenants</t>
  </si>
  <si>
    <t xml:space="preserve">À confirmer</t>
  </si>
  <si>
    <t xml:space="preserve">Portables ou smartphones professionnels</t>
  </si>
  <si>
    <t xml:space="preserve">Télétravail ou télémaintenance</t>
  </si>
  <si>
    <t xml:space="preserve">Réseau local, box ou Wi-Fi</t>
  </si>
  <si>
    <t xml:space="preserve">Serveur local, NAS ou annuaire</t>
  </si>
  <si>
    <t xml:space="preserve">Messagerie, stockage ou logiciel en ligne</t>
  </si>
  <si>
    <t xml:space="preserve">Les contrôles universels restent applicables. Une exception peut être décidée dans Questionnaire : choisir Exclure et saisir une justification. Sans justification, le contrôle reste dans le calcul.</t>
  </si>
  <si>
    <t xml:space="preserve">Site web ou nom de domaine</t>
  </si>
  <si>
    <t xml:space="preserve">Vente ou paiement en ligne</t>
  </si>
  <si>
    <t xml:space="preserve">Prestataires avec accès ou données</t>
  </si>
  <si>
    <t xml:space="preserve">Caméras, caisse, machines ou objets connectés</t>
  </si>
  <si>
    <t xml:space="preserve">Utilisation d’une IA générative</t>
  </si>
  <si>
    <t xml:space="preserve">Comptes sociaux ou fiche établissement</t>
  </si>
  <si>
    <t xml:space="preserve">Logiciel ou site développé sur mesure</t>
  </si>
  <si>
    <t xml:space="preserve">En pratique : 1. Confirmer les usages. 2. Choisir le parcours. 3. Renseigner les réponses et les éléments observés. 4. Consulter Résultat. 5. Attribuer les actions et les suivre dans Plan action.</t>
  </si>
  <si>
    <t xml:space="preserve">Temps indicatif de prise en main : un premier entretien de 45 à 60 minutes pour l’essentiel, puis plusieurs séquences pour le complet. La collecte de preuves et les tests techniques demandent du temps supplémentaire. Ces durées sont des repères de conception.</t>
  </si>
  <si>
    <t xml:space="preserve">Évaluation de maturité cyber · TPE / PME</t>
  </si>
  <si>
    <t xml:space="preserve">Renseignez E et F. D précise ce qu’il faut vérifier. G et H servent uniquement aux exceptions. Filtrez I = Oui pour le parcours actif.</t>
  </si>
  <si>
    <t xml:space="preserve">0 absent · 1 projet · 2 partiel · 3 déployé · 4 vérifié et suivi. Ne saisissez pas de mot de passe. Les calculs à droite restent consultables.</t>
  </si>
  <si>
    <t xml:space="preserve">Question à poser</t>
  </si>
  <si>
    <t xml:space="preserve">Élément concret à vérifier</t>
  </si>
  <si>
    <t xml:space="preserve">Votre réponse</t>
  </si>
  <si>
    <t xml:space="preserve">Preuve / constat / date</t>
  </si>
  <si>
    <t xml:space="preserve">Exception</t>
  </si>
  <si>
    <t xml:space="preserve">Justification de l’exception</t>
  </si>
  <si>
    <t xml:space="preserve">Retenu au calcul</t>
  </si>
  <si>
    <t xml:space="preserve">Coefficient</t>
  </si>
  <si>
    <t xml:space="preserve">Poids</t>
  </si>
  <si>
    <t xml:space="preserve">Critique (1)</t>
  </si>
  <si>
    <t xml:space="preserve">Essentiel (1)</t>
  </si>
  <si>
    <t xml:space="preserve">Points acquis</t>
  </si>
  <si>
    <t xml:space="preserve">Rang</t>
  </si>
  <si>
    <t xml:space="preserve">Réponse valide</t>
  </si>
  <si>
    <t xml:space="preserve">Alerte critique</t>
  </si>
  <si>
    <t xml:space="preserve">Inconnu</t>
  </si>
  <si>
    <t xml:space="preserve">Cadrage / saisie</t>
  </si>
  <si>
    <t xml:space="preserve">CY-01-01</t>
  </si>
  <si>
    <t xml:space="preserve">Un responsable cyber et son remplaçant sont-ils identifiés ?</t>
  </si>
  <si>
    <t xml:space="preserve">Nom, rôle et moyen de contact accessibles au dirigeant.</t>
  </si>
  <si>
    <t xml:space="preserve">Auto</t>
  </si>
  <si>
    <t xml:space="preserve">TOUS</t>
  </si>
  <si>
    <t xml:space="preserve">CY-01-02</t>
  </si>
  <si>
    <t xml:space="preserve">Les activités dont l’arrêt mettrait l’entreprise en difficulté sont-elles identifiées ?</t>
  </si>
  <si>
    <t xml:space="preserve">Liste validée : ventes, production, livraisons, paie ou facturation.</t>
  </si>
  <si>
    <t xml:space="preserve">CY-01-03</t>
  </si>
  <si>
    <t xml:space="preserve">La direction a-t-elle examiné ses principaux scénarios cyber ?</t>
  </si>
  <si>
    <t xml:space="preserve">Échange daté sur fraude, rançongiciel, fuite et panne fournisseur.</t>
  </si>
  <si>
    <t xml:space="preserve">CY-01-04</t>
  </si>
  <si>
    <t xml:space="preserve">Du temps et un budget sont-ils réservés à la sécurité numérique ?</t>
  </si>
  <si>
    <t xml:space="preserve">Décision avec enveloppe et disponibilité des personnes.</t>
  </si>
  <si>
    <t xml:space="preserve">CY-01-05</t>
  </si>
  <si>
    <t xml:space="preserve">Un plan d’action cyber est-il revu avec le dirigeant ?</t>
  </si>
  <si>
    <t xml:space="preserve">Liste datée avec responsables, échéances et décisions.</t>
  </si>
  <si>
    <t xml:space="preserve">CY-01-06</t>
  </si>
  <si>
    <t xml:space="preserve">Les exigences légales, sectorielles et contractuelles utiles sont-elles identifiées ?</t>
  </si>
  <si>
    <t xml:space="preserve">Liste des obligations et interlocuteur compétent. Vérification selon activité et contrats.</t>
  </si>
  <si>
    <t xml:space="preserve">CY-01-07</t>
  </si>
  <si>
    <t xml:space="preserve">La couverture d’assurance cyber a-t-elle été étudiée ?</t>
  </si>
  <si>
    <t xml:space="preserve">Garanties, exclusions, franchises, conditions et décision d’assurance ou de non-assurance.</t>
  </si>
  <si>
    <t xml:space="preserve">CY-01-08</t>
  </si>
  <si>
    <t xml:space="preserve">La sécurité est-elle prise en compte avant l’achat d’un nouvel outil ?</t>
  </si>
  <si>
    <t xml:space="preserve">Quelques questions posées avant signature : accès, sauvegarde, support et sortie.</t>
  </si>
  <si>
    <t xml:space="preserve">CY-02-01</t>
  </si>
  <si>
    <t xml:space="preserve">La liste des équipements et logiciels utilisés est-elle tenue à jour ?</t>
  </si>
  <si>
    <t xml:space="preserve">Inventaire des PC, mobiles, box, logiciels et personnes responsables.</t>
  </si>
  <si>
    <t xml:space="preserve">CY-02-02</t>
  </si>
  <si>
    <t xml:space="preserve">Savez-vous où se trouvent vos données et outils essentiels ?</t>
  </si>
  <si>
    <t xml:space="preserve">Emplacements des commandes, comptabilité, fichiers clients et savoir-faire.</t>
  </si>
  <si>
    <t xml:space="preserve">CY-02-03</t>
  </si>
  <si>
    <t xml:space="preserve">Les services en ligne et comptes professionnels sont-ils recensés ?</t>
  </si>
  <si>
    <t xml:space="preserve">Liste des abonnements, comptes bancaires, domaines et outils SaaS.</t>
  </si>
  <si>
    <t xml:space="preserve">CY-02-04</t>
  </si>
  <si>
    <t xml:space="preserve">La fin de support des logiciels et matériels est-elle surveillée ?</t>
  </si>
  <si>
    <t xml:space="preserve">Versions, dates de fin de maintenance et responsables de remplacement.</t>
  </si>
  <si>
    <t xml:space="preserve">CY-02-05</t>
  </si>
  <si>
    <t xml:space="preserve">Les fournisseurs numériques critiques et leurs contacts sont-ils recensés ?</t>
  </si>
  <si>
    <t xml:space="preserve">Annuaire prestataire, hébergeur, opérateur, éditeur et expert-comptable.</t>
  </si>
  <si>
    <t xml:space="preserve">PRESTA</t>
  </si>
  <si>
    <t xml:space="preserve">CY-02-06</t>
  </si>
  <si>
    <t xml:space="preserve">L’entreprise maîtrise-t-elle la propriété et le renouvellement de ses domaines ?</t>
  </si>
  <si>
    <t xml:space="preserve">Titulaire correct, accès au registrar, factures et alertes d’expiration.</t>
  </si>
  <si>
    <t xml:space="preserve">WEB</t>
  </si>
  <si>
    <t xml:space="preserve">CY-02-07</t>
  </si>
  <si>
    <t xml:space="preserve">Les dépendances à une seule personne ou un seul équipement sont-elles connues ?</t>
  </si>
  <si>
    <t xml:space="preserve">Liste des accès, compétences et matériels sans solution de remplacement.</t>
  </si>
  <si>
    <t xml:space="preserve">CY-02-08</t>
  </si>
  <si>
    <t xml:space="preserve">Les équipements connectés métier sont-ils intégrés à l’inventaire ?</t>
  </si>
  <si>
    <t xml:space="preserve">Caméras, caisse, alarme, machines et maintenance identifiés.</t>
  </si>
  <si>
    <t xml:space="preserve">OBJETS</t>
  </si>
  <si>
    <t xml:space="preserve">CY-03-01</t>
  </si>
  <si>
    <t xml:space="preserve">La double authentification protège-t-elle toutes les messageries professionnelles ?</t>
  </si>
  <si>
    <t xml:space="preserve">Contrôle du paramétrage de tous les comptes, y compris direction et comptes sensibles.</t>
  </si>
  <si>
    <t xml:space="preserve">CY-03-02</t>
  </si>
  <si>
    <t xml:space="preserve">Les accès à distance sont-ils protégés par une double authentification ?</t>
  </si>
  <si>
    <t xml:space="preserve">VPN, télémaintenance et accès aux consoles inclus dans la vérification.</t>
  </si>
  <si>
    <t xml:space="preserve">DISTANT</t>
  </si>
  <si>
    <t xml:space="preserve">CY-03-03</t>
  </si>
  <si>
    <t xml:space="preserve">Les comptes bancaires et administrateurs utilisent-ils une authentification renforcée ?</t>
  </si>
  <si>
    <t xml:space="preserve">Paramètres vérifiés des comptes banque, cloud, sauvegarde et administration.</t>
  </si>
  <si>
    <t xml:space="preserve">CY-03-04</t>
  </si>
  <si>
    <t xml:space="preserve">Les mots de passe sont-ils longs et uniques pour chaque service ?</t>
  </si>
  <si>
    <t xml:space="preserve">Règle appliquée. Aucun mot de passe réel n’est inscrit dans ce fichier.</t>
  </si>
  <si>
    <t xml:space="preserve">CY-03-05</t>
  </si>
  <si>
    <t xml:space="preserve">Un gestionnaire de mots de passe est-il utilisé et protégé ?</t>
  </si>
  <si>
    <t xml:space="preserve">Coffre professionnel, accès individuels et récupération prévus.</t>
  </si>
  <si>
    <t xml:space="preserve">CY-03-06</t>
  </si>
  <si>
    <t xml:space="preserve">Les moyens de récupération des comptes sont-ils fiables ?</t>
  </si>
  <si>
    <t xml:space="preserve">Codes de secours stockés de façon sûre et contacts de récupération à jour.</t>
  </si>
  <si>
    <t xml:space="preserve">CY-03-07</t>
  </si>
  <si>
    <t xml:space="preserve">Les codes et comptes par défaut ont-ils été changés ou désactivés ?</t>
  </si>
  <si>
    <t xml:space="preserve">Vérification de la box, NAS, imprimantes et comptes installés par le fournisseur.</t>
  </si>
  <si>
    <t xml:space="preserve">CY-03-08</t>
  </si>
  <si>
    <t xml:space="preserve">Les sessions et authentifications suspectes sont-elles révoquées rapidement ?</t>
  </si>
  <si>
    <t xml:space="preserve">Procédure de révocation des sessions et réponse aux demandes MFA inattendues.</t>
  </si>
  <si>
    <t xml:space="preserve">CY-04-01</t>
  </si>
  <si>
    <t xml:space="preserve">Chaque utilisateur dispose-t-il d’un compte nominatif ?</t>
  </si>
  <si>
    <t xml:space="preserve">Liste des comptes. Les exceptions partagées sont justifiées et tracées.</t>
  </si>
  <si>
    <t xml:space="preserve">EQUIPE</t>
  </si>
  <si>
    <t xml:space="preserve">CY-04-02</t>
  </si>
  <si>
    <t xml:space="preserve">Les accès sont-ils retirés dès le départ d’une personne ?</t>
  </si>
  <si>
    <t xml:space="preserve">Exemple de départ incluant messagerie, cloud, banque, VPN et badges.</t>
  </si>
  <si>
    <t xml:space="preserve">CY-04-03</t>
  </si>
  <si>
    <t xml:space="preserve">Les comptes administrateurs sont-ils séparés de l’usage quotidien ?</t>
  </si>
  <si>
    <t xml:space="preserve">Compte distinct pour administrer, sans messagerie ni navigation courante.</t>
  </si>
  <si>
    <t xml:space="preserve">CY-04-04</t>
  </si>
  <si>
    <t xml:space="preserve">Les droits sont-ils limités aux besoins de chaque fonction ?</t>
  </si>
  <si>
    <t xml:space="preserve">Exemples de restrictions sur paie, clients, comptabilité et fichiers sensibles.</t>
  </si>
  <si>
    <t xml:space="preserve">CY-04-05</t>
  </si>
  <si>
    <t xml:space="preserve">Les comptes inactifs et droits excessifs sont-ils revus périodiquement ?</t>
  </si>
  <si>
    <t xml:space="preserve">Revue datée des salariés, intérimaires, stagiaires et prestataires.</t>
  </si>
  <si>
    <t xml:space="preserve">CY-04-06</t>
  </si>
  <si>
    <t xml:space="preserve">Les accès des prestataires sont-ils nominatifs et limités dans le temps ?</t>
  </si>
  <si>
    <t xml:space="preserve">Liste des accès, validation du besoin et date de retrait.</t>
  </si>
  <si>
    <t xml:space="preserve">CY-04-07</t>
  </si>
  <si>
    <t xml:space="preserve">Les comptes techniques et applications connectées sont-ils maîtrisés ?</t>
  </si>
  <si>
    <t xml:space="preserve">Clés API, applications autorisées et droits recensés avec un responsable.</t>
  </si>
  <si>
    <t xml:space="preserve">CLOUD</t>
  </si>
  <si>
    <t xml:space="preserve">CY-04-08</t>
  </si>
  <si>
    <t xml:space="preserve">Un accès de secours sécurisé existe-t-il pour les outils vitaux ?</t>
  </si>
  <si>
    <t xml:space="preserve">Procédure récupérable en cas d’absence du prestataire ou du dirigeant.</t>
  </si>
  <si>
    <t xml:space="preserve">CY-05-01</t>
  </si>
  <si>
    <t xml:space="preserve">Tous les postes disposent-ils d’une protection antimalware active et à jour ?</t>
  </si>
  <si>
    <t xml:space="preserve">État de protection vérifié sur les postes fixes et portables.</t>
  </si>
  <si>
    <t xml:space="preserve">CY-05-02</t>
  </si>
  <si>
    <t xml:space="preserve">Les mises à jour des systèmes et applications sont-elles appliquées ?</t>
  </si>
  <si>
    <t xml:space="preserve">État de correctifs, redémarrages et contrôle des échecs.</t>
  </si>
  <si>
    <t xml:space="preserve">CY-05-03</t>
  </si>
  <si>
    <t xml:space="preserve">Les systèmes utilisés reçoivent-ils encore des correctifs de sécurité ?</t>
  </si>
  <si>
    <t xml:space="preserve">Versions prises en charge ou dérogation avec isolement, échéance et risque accepté.</t>
  </si>
  <si>
    <t xml:space="preserve">CY-05-04</t>
  </si>
  <si>
    <t xml:space="preserve">Les ordinateurs portables contenant des données sont-ils chiffrés ?</t>
  </si>
  <si>
    <t xml:space="preserve">Chiffrement actif et clé de récupération conservée dans un emplacement sûr.</t>
  </si>
  <si>
    <t xml:space="preserve">MOBILE</t>
  </si>
  <si>
    <t xml:space="preserve">CY-05-05</t>
  </si>
  <si>
    <t xml:space="preserve">Les sessions se verrouillent-elles automatiquement et à chaque absence ?</t>
  </si>
  <si>
    <t xml:space="preserve">Essai de verrouillage et consigne connue des utilisateurs.</t>
  </si>
  <si>
    <t xml:space="preserve">CY-05-06</t>
  </si>
  <si>
    <t xml:space="preserve">Les smartphones professionnels sont-ils protégés et maintenus ?</t>
  </si>
  <si>
    <t xml:space="preserve">Code robuste, mises à jour et procédure de perte ou d’effacement.</t>
  </si>
  <si>
    <t xml:space="preserve">CY-05-07</t>
  </si>
  <si>
    <t xml:space="preserve">L’installation de logiciels, extensions et outils de contrôle à distance est-elle encadrée ?</t>
  </si>
  <si>
    <t xml:space="preserve">Liste autorisée et validation avant installation.</t>
  </si>
  <si>
    <t xml:space="preserve">CY-05-08</t>
  </si>
  <si>
    <t xml:space="preserve">Les supports USB et la fin de vie des équipements sont-ils gérés ?</t>
  </si>
  <si>
    <t xml:space="preserve">Règle sur les supports inconnus et preuve d’effacement avant cession.</t>
  </si>
  <si>
    <t xml:space="preserve">CY-06-01</t>
  </si>
  <si>
    <t xml:space="preserve">La box et les pare-feu sont-ils maintenus et correctement configurés ?</t>
  </si>
  <si>
    <t xml:space="preserve">Version, filtrage entrant et interface d’administration vérifiés.</t>
  </si>
  <si>
    <t xml:space="preserve">RESEAU</t>
  </si>
  <si>
    <t xml:space="preserve">CY-06-02</t>
  </si>
  <si>
    <t xml:space="preserve">Les services exposés sur Internet sont-ils identifiés et strictement nécessaires ?</t>
  </si>
  <si>
    <t xml:space="preserve">Liste des ouvertures validées. Bureau à distance et NAS non exposés directement sans protection adaptée.</t>
  </si>
  <si>
    <t xml:space="preserve">CY-06-03</t>
  </si>
  <si>
    <t xml:space="preserve">Le Wi-Fi visiteurs est-il isolé du réseau professionnel ?</t>
  </si>
  <si>
    <t xml:space="preserve">Test montrant qu’un invité ne voit pas les postes et dossiers internes.</t>
  </si>
  <si>
    <t xml:space="preserve">CY-06-04</t>
  </si>
  <si>
    <t xml:space="preserve">Le Wi-Fi professionnel utilise-t-il un chiffrement et des accès adaptés ?</t>
  </si>
  <si>
    <t xml:space="preserve">WPA2 ou WPA3 adapté, secret non diffusé publiquement et WPS désactivé si inutile.</t>
  </si>
  <si>
    <t xml:space="preserve">CY-06-05</t>
  </si>
  <si>
    <t xml:space="preserve">Les caméras, objets connectés et équipements métier sont-ils séparés ?</t>
  </si>
  <si>
    <t xml:space="preserve">Réseau distinct et flux utiles documentés.</t>
  </si>
  <si>
    <t xml:space="preserve">CY-06-06</t>
  </si>
  <si>
    <t xml:space="preserve">Le télétravail utilise-t-il des équipements et connexions maîtrisés ?</t>
  </si>
  <si>
    <t xml:space="preserve">Accès sécurisé, poste à jour et absence de partage familial des sessions professionnelles.</t>
  </si>
  <si>
    <t xml:space="preserve">CY-06-07</t>
  </si>
  <si>
    <t xml:space="preserve">Les serveurs, NAS et équipements réseau ont-ils une maintenance de sécurité suivie ?</t>
  </si>
  <si>
    <t xml:space="preserve">Calendrier des correctifs et sauvegarde de configuration.</t>
  </si>
  <si>
    <t xml:space="preserve">SERVEUR</t>
  </si>
  <si>
    <t xml:space="preserve">CY-06-08</t>
  </si>
  <si>
    <t xml:space="preserve">L’accès physique aux équipements réseau et serveurs est-il contrôlé ?</t>
  </si>
  <si>
    <t xml:space="preserve">Local ou armoire fermée, visiteurs accompagnés et alimentation protégée selon le besoin.</t>
  </si>
  <si>
    <t xml:space="preserve">CY-07-01</t>
  </si>
  <si>
    <t xml:space="preserve">Les messages dangereux sont-ils filtrés et signalables facilement ?</t>
  </si>
  <si>
    <t xml:space="preserve">Antispam, analyse des pièces jointes et moyen de signalement connu.</t>
  </si>
  <si>
    <t xml:space="preserve">CY-07-02</t>
  </si>
  <si>
    <t xml:space="preserve">Tout changement de RIB est-il confirmé via un contact déjà connu ?</t>
  </si>
  <si>
    <t xml:space="preserve">Procédure appliquée à un exemple. Le numéro de rappel ne vient pas du message reçu.</t>
  </si>
  <si>
    <t xml:space="preserve">CY-07-03</t>
  </si>
  <si>
    <t xml:space="preserve">Les paiements inhabituels suivent-ils un contrôle renforcé ?</t>
  </si>
  <si>
    <t xml:space="preserve">Validation indépendante ou, pour un dirigeant seul, vérification et délai de recul.</t>
  </si>
  <si>
    <t xml:space="preserve">CY-07-04</t>
  </si>
  <si>
    <t xml:space="preserve">Le domaine de messagerie est-il protégé par SPF, DKIM et DMARC adaptés ?</t>
  </si>
  <si>
    <t xml:space="preserve">Contrôle par le prestataire, sources d’envoi recensées et rapports examinés.</t>
  </si>
  <si>
    <t xml:space="preserve">CY-07-05</t>
  </si>
  <si>
    <t xml:space="preserve">Les redirections de messagerie et accès délégués sont-ils contrôlés ?</t>
  </si>
  <si>
    <t xml:space="preserve">Liste des règles de transfert, délégations et applications autorisées.</t>
  </si>
  <si>
    <t xml:space="preserve">CY-07-06</t>
  </si>
  <si>
    <t xml:space="preserve">Les faux supports et demandes urgentes par téléphone ou vidéo sont-ils vérifiés ?</t>
  </si>
  <si>
    <t xml:space="preserve">Consigne de rappel indépendant même si la voix ou l’image paraît familière.</t>
  </si>
  <si>
    <t xml:space="preserve">CY-07-07</t>
  </si>
  <si>
    <t xml:space="preserve">Les macros et contenus actifs reçus par message sont-ils maîtrisés ?</t>
  </si>
  <si>
    <t xml:space="preserve">Paramètres bloquant les contenus actifs non approuvés.</t>
  </si>
  <si>
    <t xml:space="preserve">CY-07-08</t>
  </si>
  <si>
    <t xml:space="preserve">Les changements de factures et remboursements clients sont-ils rapprochés des dossiers réels ?</t>
  </si>
  <si>
    <t xml:space="preserve">Contrôle indépendant entre commande, paiement et coordonnées de remboursement.</t>
  </si>
  <si>
    <t xml:space="preserve">CY-08-01</t>
  </si>
  <si>
    <t xml:space="preserve">Les données essentielles sont-elles sauvegardées automatiquement à une fréquence adaptée ?</t>
  </si>
  <si>
    <t xml:space="preserve">Rapport montrant la couverture des fichiers et applications vitales.</t>
  </si>
  <si>
    <t xml:space="preserve">CY-08-02</t>
  </si>
  <si>
    <t xml:space="preserve">Une copie est-elle hors ligne ou protégée contre l’effacement par un attaquant ?</t>
  </si>
  <si>
    <t xml:space="preserve">Copie déconnectée ou immuable, protection et droits réellement vérifiés.</t>
  </si>
  <si>
    <t xml:space="preserve">CY-08-03</t>
  </si>
  <si>
    <t xml:space="preserve">Une restauration réelle a-t-elle été testée récemment avec succès ?</t>
  </si>
  <si>
    <t xml:space="preserve">Date, fichiers récupérés, durée mesurée et validation d’ouverture.</t>
  </si>
  <si>
    <t xml:space="preserve">CY-08-04</t>
  </si>
  <si>
    <t xml:space="preserve">Les échecs de sauvegarde sont-ils détectés et corrigés ?</t>
  </si>
  <si>
    <t xml:space="preserve">Rapports suivis par une personne et exemples de corrections.</t>
  </si>
  <si>
    <t xml:space="preserve">CY-08-05</t>
  </si>
  <si>
    <t xml:space="preserve">Une copie existe-t-elle sur un autre lieu que les données principales ?</t>
  </si>
  <si>
    <t xml:space="preserve">Copie hors site distincte, protégée contre vol, incendie et sinistre local.</t>
  </si>
  <si>
    <t xml:space="preserve">CY-08-06</t>
  </si>
  <si>
    <t xml:space="preserve">Les comptes de sauvegarde sont-ils distincts et leurs droits limités ?</t>
  </si>
  <si>
    <t xml:space="preserve">Comptes dédiés, authentification renforcée et suppression restreinte.</t>
  </si>
  <si>
    <t xml:space="preserve">CY-08-07</t>
  </si>
  <si>
    <t xml:space="preserve">Les données cloud peuvent-elles être récupérées après suppression ou compromission ?</t>
  </si>
  <si>
    <t xml:space="preserve">Périmètre, durée de rétention et test. La synchronisation seule n’est pas une sauvegarde.</t>
  </si>
  <si>
    <t xml:space="preserve">CY-08-08</t>
  </si>
  <si>
    <t xml:space="preserve">La rétention et les éléments nécessaires à une reprise complète sont-ils couverts ?</t>
  </si>
  <si>
    <t xml:space="preserve">Versions antérieures, configurations, clés et dépendances applicatives disponibles.</t>
  </si>
  <si>
    <t xml:space="preserve">CY-09-01</t>
  </si>
  <si>
    <t xml:space="preserve">Les données personnelles et confidentielles sont-elles repérées ?</t>
  </si>
  <si>
    <t xml:space="preserve">Inventaire clients, RH, finances, plans, secrets commerciaux et lieux de stockage.</t>
  </si>
  <si>
    <t xml:space="preserve">CY-09-02</t>
  </si>
  <si>
    <t xml:space="preserve">Les liens de partage donnent-ils accès uniquement aux personnes prévues ?</t>
  </si>
  <si>
    <t xml:space="preserve">Vérification des liens publics, invitations externes et dates d’expiration.</t>
  </si>
  <si>
    <t xml:space="preserve">CY-09-03</t>
  </si>
  <si>
    <t xml:space="preserve">Les fichiers sensibles sont-ils transmis par un moyen sécurisé ?</t>
  </si>
  <si>
    <t xml:space="preserve">Canal autorisé, contrôle du destinataire et chiffrement selon le besoin.</t>
  </si>
  <si>
    <t xml:space="preserve">CY-09-04</t>
  </si>
  <si>
    <t xml:space="preserve">Les durées de conservation et suppressions sont-elles définies ?</t>
  </si>
  <si>
    <t xml:space="preserve">Règles par type de document conciliant obligations et minimisation.</t>
  </si>
  <si>
    <t xml:space="preserve">CY-09-05</t>
  </si>
  <si>
    <t xml:space="preserve">Les traitements de données personnelles sont-ils documentés de façon proportionnée ?</t>
  </si>
  <si>
    <t xml:space="preserve">Registre ou documentation adaptée, finalités et personnes responsables.</t>
  </si>
  <si>
    <t xml:space="preserve">CY-09-06</t>
  </si>
  <si>
    <t xml:space="preserve">Le savoir-faire et les données confiées par les clients sont-ils protégés ?</t>
  </si>
  <si>
    <t xml:space="preserve">Dossiers restreints, accords utiles et règles d’échange externe.</t>
  </si>
  <si>
    <t xml:space="preserve">CY-09-07</t>
  </si>
  <si>
    <t xml:space="preserve">Les règles d’usage de l’IA évitent-elles la divulgation de données sensibles ?</t>
  </si>
  <si>
    <t xml:space="preserve">Outils autorisés, données interdites et validation humaine des réponses.</t>
  </si>
  <si>
    <t xml:space="preserve">IA</t>
  </si>
  <si>
    <t xml:space="preserve">CY-09-08</t>
  </si>
  <si>
    <t xml:space="preserve">Les impressions, documents papier et écrans sensibles sont-ils protégés ?</t>
  </si>
  <si>
    <t xml:space="preserve">Rangement, destruction sécurisée et accueil des visiteurs.</t>
  </si>
  <si>
    <t xml:space="preserve">CY-10-01</t>
  </si>
  <si>
    <t xml:space="preserve">Les responsabilités de sécurité sont-elles convenues avec le prestataire ?</t>
  </si>
  <si>
    <t xml:space="preserve">Qui gère correctifs, comptes, sauvegardes et alertes est écrit.</t>
  </si>
  <si>
    <t xml:space="preserve">CY-10-02</t>
  </si>
  <si>
    <t xml:space="preserve">Le prestataire doit-il vous alerter rapidement en cas d’incident ?</t>
  </si>
  <si>
    <t xml:space="preserve">Contact, délai contractuel et procédure d’escalade connus.</t>
  </si>
  <si>
    <t xml:space="preserve">CY-10-03</t>
  </si>
  <si>
    <t xml:space="preserve">Les paramètres de sécurité cloud sont-ils revus après la mise en service ?</t>
  </si>
  <si>
    <t xml:space="preserve">Contrôle MFA, partage, journaux et accès administrateurs.</t>
  </si>
  <si>
    <t xml:space="preserve">CY-10-04</t>
  </si>
  <si>
    <t xml:space="preserve">La récupération et la sortie des données sont-elles possibles ?</t>
  </si>
  <si>
    <t xml:space="preserve">Format d’export, délais, coûts et test sur un échantillon.</t>
  </si>
  <si>
    <t xml:space="preserve">CY-10-05</t>
  </si>
  <si>
    <t xml:space="preserve">Le lieu des données et les sous-traitants sont-ils connus ?</t>
  </si>
  <si>
    <t xml:space="preserve">Contrat, lieux d’hébergement, transferts et garanties examinés.</t>
  </si>
  <si>
    <t xml:space="preserve">CY-10-06</t>
  </si>
  <si>
    <t xml:space="preserve">Les engagements des prestataires sont-ils vérifiés avec des éléments concrets ?</t>
  </si>
  <si>
    <t xml:space="preserve">Compte rendu de maintenance, test de restauration ou revue annuelle.</t>
  </si>
  <si>
    <t xml:space="preserve">CY-10-07</t>
  </si>
  <si>
    <t xml:space="preserve">L’entreprise peut-elle fonctionner si son prestataire habituel est indisponible ?</t>
  </si>
  <si>
    <t xml:space="preserve">Documentation récupérable, contacts alternatifs et accès conservés par l’entreprise.</t>
  </si>
  <si>
    <t xml:space="preserve">CY-10-08</t>
  </si>
  <si>
    <t xml:space="preserve">Les intervenants respectent-ils les limites d’accès et la confidentialité ?</t>
  </si>
  <si>
    <t xml:space="preserve">Engagements, personnes habilitées et fin d’accès suivis.</t>
  </si>
  <si>
    <t xml:space="preserve">CY-11-01</t>
  </si>
  <si>
    <t xml:space="preserve">Le site et ses composants sont-ils maintenus et mis à jour ?</t>
  </si>
  <si>
    <t xml:space="preserve">CMS, extensions, thèmes et hébergement suivis par un responsable.</t>
  </si>
  <si>
    <t xml:space="preserve">CY-11-02</t>
  </si>
  <si>
    <t xml:space="preserve">Le site utilise-t-il HTTPS avec un certificat valide et renouvelé ?</t>
  </si>
  <si>
    <t xml:space="preserve">Test des adresses utilisées, absence d’alerte et suivi d’expiration.</t>
  </si>
  <si>
    <t xml:space="preserve">CY-11-03</t>
  </si>
  <si>
    <t xml:space="preserve">Les accès de gestion du site et du domaine sont-ils sécurisés ?</t>
  </si>
  <si>
    <t xml:space="preserve">Comptes individuels, MFA disponible activé, accès de récupération maîtrisés.</t>
  </si>
  <si>
    <t xml:space="preserve">CY-11-04</t>
  </si>
  <si>
    <t xml:space="preserve">Les paiements passent-ils par un service sécurisé sans collecte inutile de cartes ?</t>
  </si>
  <si>
    <t xml:space="preserve">Parcours vérifié et responsabilités du prestataire de paiement connues.</t>
  </si>
  <si>
    <t xml:space="preserve">VENTE</t>
  </si>
  <si>
    <t xml:space="preserve">CY-11-05</t>
  </si>
  <si>
    <t xml:space="preserve">Les comptes clients et le parcours de commande font-ils l’objet de contrôles ?</t>
  </si>
  <si>
    <t xml:space="preserve">Test de connexion, réinitialisation, accès aux commandes et incidents.</t>
  </si>
  <si>
    <t xml:space="preserve">CY-11-06</t>
  </si>
  <si>
    <t xml:space="preserve">La présence de faux sites ou comptes au nom de l’entreprise est-elle surveillée ?</t>
  </si>
  <si>
    <t xml:space="preserve">Recherche périodique du nom et procédure de signalement des usurpations.</t>
  </si>
  <si>
    <t xml:space="preserve">CY-11-07</t>
  </si>
  <si>
    <t xml:space="preserve">Les comptes sociaux et fiches d’établissement sont-ils maîtrisés ?</t>
  </si>
  <si>
    <t xml:space="preserve">Propriétaires, administrateurs, MFA et procédure de récupération vérifiés.</t>
  </si>
  <si>
    <t xml:space="preserve">SOCIAL</t>
  </si>
  <si>
    <t xml:space="preserve">CY-11-08</t>
  </si>
  <si>
    <t xml:space="preserve">Les développements spécifiques sont-ils vérifiés avant publication ?</t>
  </si>
  <si>
    <t xml:space="preserve">Validation des accès, secrets, dépendances et sauvegarde avant déploiement.</t>
  </si>
  <si>
    <t xml:space="preserve">DEV</t>
  </si>
  <si>
    <t xml:space="preserve">CY-12-01</t>
  </si>
  <si>
    <t xml:space="preserve">Les utilisateurs connaissent-ils les principaux pièges cyber ?</t>
  </si>
  <si>
    <t xml:space="preserve">Sensibilisation récente avec exemples de phishing, faux support et fraude.</t>
  </si>
  <si>
    <t xml:space="preserve">CY-12-02</t>
  </si>
  <si>
    <t xml:space="preserve">Chacun sait-il signaler un doute ou une erreur sans crainte ?</t>
  </si>
  <si>
    <t xml:space="preserve">Canal connu et message clair de non-culpabilisation du signalement.</t>
  </si>
  <si>
    <t xml:space="preserve">CY-12-03</t>
  </si>
  <si>
    <t xml:space="preserve">Un nouvel arrivant reçoit-il les consignes de sécurité ?</t>
  </si>
  <si>
    <t xml:space="preserve">Parcours d’accueil, consignes remises et compréhension vérifiée.</t>
  </si>
  <si>
    <t xml:space="preserve">CY-12-04</t>
  </si>
  <si>
    <t xml:space="preserve">Les personnes exposées aux fraudes reçoivent-elles une sensibilisation adaptée ?</t>
  </si>
  <si>
    <t xml:space="preserve">Exemples pour direction, comptabilité, RH, vente et accueil.</t>
  </si>
  <si>
    <t xml:space="preserve">CY-12-05</t>
  </si>
  <si>
    <t xml:space="preserve">Les règles d’usage professionnel sont-elles simples et comprises ?</t>
  </si>
  <si>
    <t xml:space="preserve">Consignes écrites sur logiciels, partage, usages privés et données.</t>
  </si>
  <si>
    <t xml:space="preserve">CY-12-06</t>
  </si>
  <si>
    <t xml:space="preserve">Les déplacements et usages d’appareils personnels sont-ils encadrés ?</t>
  </si>
  <si>
    <t xml:space="preserve">Consignes sur vol, Wi-Fi public, écrans et transfert vers messagerie personnelle.</t>
  </si>
  <si>
    <t xml:space="preserve">CY-12-07</t>
  </si>
  <si>
    <t xml:space="preserve">Des exercices courts permettent-ils de vérifier les bons réflexes ?</t>
  </si>
  <si>
    <t xml:space="preserve">Mise en situation sans piège humiliant et débriefing.</t>
  </si>
  <si>
    <t xml:space="preserve">CY-12-08</t>
  </si>
  <si>
    <t xml:space="preserve">Une personne suit-elle les alertes cyber utiles à l’entreprise ?</t>
  </si>
  <si>
    <t xml:space="preserve">Abonnement pertinent et relais au prestataire pour les produits réellement utilisés.</t>
  </si>
  <si>
    <t xml:space="preserve">CY-13-01</t>
  </si>
  <si>
    <t xml:space="preserve">Un contact d’urgence est-il disponible hors de l’informatique ?</t>
  </si>
  <si>
    <t xml:space="preserve">Fiche papier avec référent, prestataire, banque, assurance et assistance.</t>
  </si>
  <si>
    <t xml:space="preserve">CY-13-02</t>
  </si>
  <si>
    <t xml:space="preserve">Quelqu’un reçoit-il et traite-t-il les alertes de sécurité importantes ?</t>
  </si>
  <si>
    <t xml:space="preserve">Responsable désigné pour alertes comptes, antivirus et sauvegardes.</t>
  </si>
  <si>
    <t xml:space="preserve">CY-13-03</t>
  </si>
  <si>
    <t xml:space="preserve">Les traces de connexion utiles sont-elles disponibles et protégées ?</t>
  </si>
  <si>
    <t xml:space="preserve">Journaux activés, durée justifiée et capacité de récupération.</t>
  </si>
  <si>
    <t xml:space="preserve">CY-13-04</t>
  </si>
  <si>
    <t xml:space="preserve">Les premières actions en cas d’attaque sont-elles connues ?</t>
  </si>
  <si>
    <t xml:space="preserve">Consignes d’isolement, alerte et préservation des preuves. Pas de réinstallation précipitée.</t>
  </si>
  <si>
    <t xml:space="preserve">CY-13-05</t>
  </si>
  <si>
    <t xml:space="preserve">Une procédure existe-t-elle pour reprendre un compte compromis ?</t>
  </si>
  <si>
    <t xml:space="preserve">Révocation sessions, changement des secrets et contrôle des règles mail depuis un poste sain.</t>
  </si>
  <si>
    <t xml:space="preserve">CY-13-06</t>
  </si>
  <si>
    <t xml:space="preserve">Les obligations de notification de violation sont-elles préparées ?</t>
  </si>
  <si>
    <t xml:space="preserve">Décideur et procédure : registre, évaluation du risque, CNIL et personnes concernées.</t>
  </si>
  <si>
    <t xml:space="preserve">CY-13-07</t>
  </si>
  <si>
    <t xml:space="preserve">L’assistance et les preuves peuvent-elles être mobilisées rapidement ?</t>
  </si>
  <si>
    <t xml:space="preserve">Contacts 17Cyber, prestataire, assurance et consigne de conservation des messages et horaires.</t>
  </si>
  <si>
    <t xml:space="preserve">CY-13-08</t>
  </si>
  <si>
    <t xml:space="preserve">Les incidents et presque-incidents donnent-ils lieu à des corrections ?</t>
  </si>
  <si>
    <t xml:space="preserve">Registre interne et suivi des leçons tirées. Un exercice peut servir de premier cas.</t>
  </si>
  <si>
    <t xml:space="preserve">CY-14-01</t>
  </si>
  <si>
    <t xml:space="preserve">La durée maximale d’arrêt et la perte de données acceptables sont-elles définies ?</t>
  </si>
  <si>
    <t xml:space="preserve">Objectifs par activité en heures ou jours, validés par le dirigeant.</t>
  </si>
  <si>
    <t xml:space="preserve">CY-14-02</t>
  </si>
  <si>
    <t xml:space="preserve">Un fonctionnement dégradé est-il prévu pour les activités vitales ?</t>
  </si>
  <si>
    <t xml:space="preserve">Procédure pour commandes, livraison, facturation et contacts sans outil principal.</t>
  </si>
  <si>
    <t xml:space="preserve">CY-14-03</t>
  </si>
  <si>
    <t xml:space="preserve">L’ordre de remise en service est-il documenté et réalisable ?</t>
  </si>
  <si>
    <t xml:space="preserve">Liste des priorités, dépendances techniques et personnes qui valident.</t>
  </si>
  <si>
    <t xml:space="preserve">CY-14-04</t>
  </si>
  <si>
    <t xml:space="preserve">Un exercice de crise ou de reprise a-t-il été réalisé ?</t>
  </si>
  <si>
    <t xml:space="preserve">Compte rendu, durée mesurée et actions correctives.</t>
  </si>
  <si>
    <t xml:space="preserve">CY-14-05</t>
  </si>
  <si>
    <t xml:space="preserve">Une communication de crise vers clients et fournisseurs est-elle préparée ?</t>
  </si>
  <si>
    <t xml:space="preserve">Porte-parole, canal de secours et modèles de messages factuels.</t>
  </si>
  <si>
    <t xml:space="preserve">CY-14-06</t>
  </si>
  <si>
    <t xml:space="preserve">L’impact sur la trésorerie et les engagements a-t-il été évalué ?</t>
  </si>
  <si>
    <t xml:space="preserve">Estimation propre à l’entreprise : activité perdue, charges, reconstruction et retards.</t>
  </si>
  <si>
    <t xml:space="preserve">CY-14-07</t>
  </si>
  <si>
    <t xml:space="preserve">La reprise prévoit-elle la suppression de la cause de l’attaque et un contrôle métier ?</t>
  </si>
  <si>
    <t xml:space="preserve">Validation d’un environnement sain, des accès et de l’intégrité des données restaurées.</t>
  </si>
  <si>
    <t xml:space="preserve">CY-14-08</t>
  </si>
  <si>
    <t xml:space="preserve">L’organisation prévoit-elle les absences et la fatigue des équipes pendant la crise ?</t>
  </si>
  <si>
    <t xml:space="preserve">Relèves, délégations, communication interne et charge de ressaisie.</t>
  </si>
  <si>
    <t xml:space="preserve">Votre plan d’action cyber</t>
  </si>
  <si>
    <t xml:space="preserve">Filtrez les priorités P1 à P4. Triez la table entière par Rang si utile. Les responsables et suivis restent attachés à leur identifiant.</t>
  </si>
  <si>
    <t xml:space="preserve">Jaune : responsable, échéance décidée, statut, preuve, validation et budget facultatif. La clôture d’une action ne modifie pas la réponse au questionnaire.</t>
  </si>
  <si>
    <t xml:space="preserve">Prochaine action proposée</t>
  </si>
  <si>
    <t xml:space="preserve">Effort indicatif</t>
  </si>
  <si>
    <t xml:space="preserve">Responsable</t>
  </si>
  <si>
    <t xml:space="preserve">Échéance décidée</t>
  </si>
  <si>
    <t xml:space="preserve">Statut saisi</t>
  </si>
  <si>
    <t xml:space="preserve">Preuve / compte rendu</t>
  </si>
  <si>
    <t xml:space="preserve">Date de validation</t>
  </si>
  <si>
    <t xml:space="preserve">Budget prévu HT €</t>
  </si>
  <si>
    <t xml:space="preserve">Suivi calculé</t>
  </si>
  <si>
    <t xml:space="preserve">Échéance proposée</t>
  </si>
  <si>
    <t xml:space="preserve">Court</t>
  </si>
  <si>
    <t xml:space="preserve">À décider</t>
  </si>
  <si>
    <t xml:space="preserve">Moyen</t>
  </si>
  <si>
    <t xml:space="preserve">Projet</t>
  </si>
  <si>
    <t xml:space="preserve">Barèmes et règles de calcul</t>
  </si>
  <si>
    <t xml:space="preserve">Méthode Mon Copain Cyber. Les seuils et pondérations ne constituent pas un barème officiel de l’ANSSI.</t>
  </si>
  <si>
    <t xml:space="preserve">Réponse</t>
  </si>
  <si>
    <t xml:space="preserve">Sens de la réponse</t>
  </si>
  <si>
    <t xml:space="preserve">Paramètre</t>
  </si>
  <si>
    <t xml:space="preserve">Valeur</t>
  </si>
  <si>
    <t xml:space="preserve">0 · Non en place</t>
  </si>
  <si>
    <t xml:space="preserve">Aucune mesure opérationnelle identifiée.</t>
  </si>
  <si>
    <t xml:space="preserve">Coefficient minimal critique</t>
  </si>
  <si>
    <t xml:space="preserve">1 · En projet</t>
  </si>
  <si>
    <t xml:space="preserve">Intention ou travaux commencés. Protection encore peu effective.</t>
  </si>
  <si>
    <t xml:space="preserve">P1 · délai proposé (jours)</t>
  </si>
  <si>
    <t xml:space="preserve">2 · Partiellement</t>
  </si>
  <si>
    <t xml:space="preserve">Mesure appliquée sur une partie seulement du périmètre.</t>
  </si>
  <si>
    <t xml:space="preserve">P2 · délai proposé (jours)</t>
  </si>
  <si>
    <t xml:space="preserve">3 · Déployé</t>
  </si>
  <si>
    <t xml:space="preserve">Mesure déployée sur tout le périmètre concerné.</t>
  </si>
  <si>
    <t xml:space="preserve">P3 · délai proposé (jours)</t>
  </si>
  <si>
    <t xml:space="preserve">4 · Vérifié et suivi</t>
  </si>
  <si>
    <t xml:space="preserve">Mesure déployée, preuve récente et suivi périodique effectif.</t>
  </si>
  <si>
    <t xml:space="preserve">P4 · délai proposé (jours)</t>
  </si>
  <si>
    <t xml:space="preserve">Je ne sais pas</t>
  </si>
  <si>
    <t xml:space="preserve">Situation inconnue. Aucun point acquis, vérification à organiser.</t>
  </si>
  <si>
    <t xml:space="preserve">Poids minimum</t>
  </si>
  <si>
    <t xml:space="preserve">Poids maximum</t>
  </si>
  <si>
    <t xml:space="preserve">Seuil inclus /100</t>
  </si>
  <si>
    <t xml:space="preserve">Niveau</t>
  </si>
  <si>
    <t xml:space="preserve">Interprétation</t>
  </si>
  <si>
    <t xml:space="preserve">Poids par contrôle : 3 = majeur, 2 = important, 1 = complémentaire. Le poids retenu est remis à zéro uniquement si le contrôle est exclu. La note est ramenée à 100 sur le périmètre actif.</t>
  </si>
  <si>
    <t xml:space="preserve">Initial</t>
  </si>
  <si>
    <t xml:space="preserve">Les protections restent largement à construire.</t>
  </si>
  <si>
    <t xml:space="preserve">Fragile</t>
  </si>
  <si>
    <t xml:space="preserve">Quelques mesures existent, de nombreuses lacunes persistent.</t>
  </si>
  <si>
    <t xml:space="preserve">En progression</t>
  </si>
  <si>
    <t xml:space="preserve">Les pratiques progressent mais restent inégales.</t>
  </si>
  <si>
    <t xml:space="preserve">Structuré</t>
  </si>
  <si>
    <t xml:space="preserve">L’essentiel est organisé. Consolider les contrôles et les preuves.</t>
  </si>
  <si>
    <t xml:space="preserve">Piloté</t>
  </si>
  <si>
    <t xml:space="preserve">Les pratiques sont largement déployées et suivies. Vérifier les alertes critiques.</t>
  </si>
  <si>
    <t xml:space="preserve">Chaque palier est détaillé dans la feuille Paliers : ce qu’il signifie concrètement, les risques à y rester, ce qu’apporte le palier supérieur et les leviers pour le franchir. Modifier un seuil ci-dessus modifie aussi cette lecture.</t>
  </si>
  <si>
    <t xml:space="preserve">Score = 100 × somme des points acquis ÷ somme des poids retenus. Points = poids × coefficient. Les blancs et « Je ne sais pas » n’acquièrent aucun point. Aucun score n’est affiché avant la première réponse du périmètre actif.</t>
  </si>
  <si>
    <t xml:space="preserve">Priorités : P1 = contrôle critique sous le minimum ou à vérifier. P2 = autre contrôle majeur sous 100 %. P3 = autre contrôle important sous 100 %. P4 = complément. À priorité égale, l’écart pondéré le plus élevé passe d’abord, puis l’ordre des identifiants.</t>
  </si>
  <si>
    <t xml:space="preserve">Les dates P1 à P4 sont des propositions à partir de la date d’évaluation, jamais des délais réglementaires. Incident en cours : agir immédiatement. Modifier le barème peut changer la comparabilité des évaluations. Garder les seuils dans l’ordre croissant.</t>
  </si>
  <si>
    <t xml:space="preserve">Paliers de maturité · ce que votre note veut dire</t>
  </si>
  <si>
    <t xml:space="preserve">Cinq paliers pour une note sur 100. Lisez la ligne correspondant à votre score, puis la ligne au-dessus : elle décrit ce que vous gagnez à progresser. Conséquences et bénéfices sont des scénarios réalistes pour une TPE/PME, pas une prévision de sinistre ni un engagement de résultat.</t>
  </si>
  <si>
    <t xml:space="preserve">Palier</t>
  </si>
  <si>
    <t xml:space="preserve">Plage /100</t>
  </si>
  <si>
    <t xml:space="preserve">Ce que cela veut dire dans l’entreprise</t>
  </si>
  <si>
    <t xml:space="preserve">Risques si vous restez à ce niveau</t>
  </si>
  <si>
    <t xml:space="preserve">Ce que le palier supérieur vous apporte</t>
  </si>
  <si>
    <t xml:space="preserve">Leviers pour franchir le palier</t>
  </si>
  <si>
    <t xml:space="preserve">Effort et horizon indicatifs</t>
  </si>
  <si>
    <t xml:space="preserve">0 à 19</t>
  </si>
  <si>
    <t xml:space="preserve">Les protections reposent sur la chance et sur la bonne volonté d’une ou deux personnes. Peu de mesures sont réellement installées, personne n’est clairement responsable et rien n’est écrit.</t>
  </si>
  <si>
    <t xml:space="preserve">Un seul courriel piégé, un mot de passe réutilisé ou un poste non mis à jour suffit à arrêter l’activité. Sans sauvegarde isolée ni procédure, la remise en route se compte en jours ou en semaines, avec ressaisie manuelle et commandes perdues. La fraude au faux fournisseur ou au faux dirigeant passe sans contrôle. En cas de fuite, l’entreprise n’a ni preuve, ni journal, ni interlocuteur pour répondre aux clients, à la CNIL ou à l’assureur. Les donneurs d’ordre qui envoient un questionnaire sécurité écartent ce niveau.</t>
  </si>
  <si>
    <t xml:space="preserve">Le palier Fragile coupe les scénarios les plus fréquents avec très peu de moyens : double authentification sur la messagerie, la banque et les accès distants, une sauvegarde hors d’atteinte, les mises à jour automatiques, une fiche d’urgence. C’est le passage qui transforme un sinistre majeur en incident gérable.</t>
  </si>
  <si>
    <t xml:space="preserve">Nommer un référent et son remplaçant. Activer la double authentification sur la messagerie, la banque et les accès à distance. Créer une sauvegarde déconnectée ou immuable des données vitales. Activer les mises à jour automatiques. Imprimer une fiche d’urgence : référent, prestataire, banque, assurance, 17Cyber.</t>
  </si>
  <si>
    <t xml:space="preserve">Quelques demi-journées. Coût faible : la plupart des réglages sont déjà inclus dans les abonnements existants.</t>
  </si>
  <si>
    <t xml:space="preserve">20 à 39</t>
  </si>
  <si>
    <t xml:space="preserve">Des mesures existent, souvent installées par défaut ou par le prestataire, mais elles sont partielles, jamais vérifiées et concentrées sur quelques outils.</t>
  </si>
  <si>
    <t xml:space="preserve">La couverture est inégale : un compte oublié, un poste hors périmètre, une sauvegarde jamais restaurée annulent l’effet des bonnes mesures déjà en place. Les départs de salariés ou de prestataires laissent des accès ouverts. L’incident est découvert tard, souvent par un client, la banque ou un partenaire. Le redémarrage reste improvisé et dépend d’une seule personne, absente le jour où il faut agir.</t>
  </si>
  <si>
    <t xml:space="preserve">Le palier En progression, c’est la couverture complète du périmètre réel : tous les comptes, tous les postes, toutes les données vitales, et une première restauration réellement testée. L’entreprise cesse de dépendre d’une seule personne et d’une seule sauvegarde.</t>
  </si>
  <si>
    <t xml:space="preserve">Tenir l’inventaire des équipements, logiciels, services en ligne et domaines. Généraliser la double authentification, comptes d’administration compris. Réaliser et dater un test de restauration. Écrire la procédure de départ et de retrait des accès. Organiser une sensibilisation courte pour toute l’équipe, dirigeant inclus.</t>
  </si>
  <si>
    <t xml:space="preserve">Quatre à huit semaines. Surtout du temps interne, avec l’appui du prestataire informatique.</t>
  </si>
  <si>
    <t xml:space="preserve">40 à 59</t>
  </si>
  <si>
    <t xml:space="preserve">L’essentiel est engagé mais reste inégal selon les domaines. Les bonnes pratiques tiennent aux personnes plus qu’aux habitudes de l’entreprise, et les preuves manquent.</t>
  </si>
  <si>
    <t xml:space="preserve">Les écarts restants sont ceux qui coûtent le plus cher : sauvegarde non testée, services exposés sur Internet, prestataires sans engagement écrit, aucune procédure d’incident. L’entreprise résiste aux attaques opportunistes, beaucoup moins à une attaque qui vise ses accès, sa messagerie ou son prestataire. En cas de sinistre, la durée d’arrêt reste inconnue et la trésorerie encaisse seule le choc.</t>
  </si>
  <si>
    <t xml:space="preserve">Le palier Structuré rend la sécurité indépendante des bonnes volontés : mesures appliquées à tout le monde, plan d’action suivi, reprise estimable. On sait quoi redémarrer, dans quel ordre et avec qui. Les questionnaires clients et les discussions d’assurance deviennent abordables.</t>
  </si>
  <si>
    <t xml:space="preserve">Revoir les droits et supprimer les comptes inutiles. Durcir la box, le Wi-Fi et les accès distants, fermer les services exposés sans besoin. Écrire qui fait quoi entre l’entreprise et le prestataire. Tester une procédure d’incident courte. Fixer les objectifs de reprise : durée d’arrêt et perte de données acceptables par activité.</t>
  </si>
  <si>
    <t xml:space="preserve">Un trimestre, avec une revue mensuelle d’une heure par le dirigeant.</t>
  </si>
  <si>
    <t xml:space="preserve">60 à 79</t>
  </si>
  <si>
    <t xml:space="preserve">L’essentiel est organisé et appliqué sur tout le périmètre. Les responsabilités sont connues, les preuves existent et le plan d’action vit réellement.</t>
  </si>
  <si>
    <t xml:space="preserve">Sans vérification périodique, les mesures se dégradent sans bruit : le périmètre d’une sauvegarde change, un compte prestataire survit à la mission, une exception temporaire devient permanente. Une seule lacune critique résiduelle suffit encore à provoquer un arrêt, malgré une bonne moyenne. Les preuves vieillissent et redeviennent de simples déclarations le jour où un client ou un assureur les demande.</t>
  </si>
  <si>
    <t xml:space="preserve">Le palier Piloté, c’est la capacité à démontrer plutôt qu’à affirmer : contrôles vérifiés, datés, suivis. La détection et la réaction gagnent des heures, parfois des jours. L’entreprise argumente mieux face à l’assureur et se différencie face aux donneurs d’ordre.</t>
  </si>
  <si>
    <t xml:space="preserve">Réaliser un exercice de reprise sur le logiciel principal. Tester les restaurations régulièrement. Programmer la revue des accès et des prestataires. Attribuer les alertes et les journaux à une personne identifiée. Entretenir la sensibilisation avec des cas réels de la profession.</t>
  </si>
  <si>
    <t xml:space="preserve">Rythme régulier : quelques heures par trimestre et un exercice par an.</t>
  </si>
  <si>
    <t xml:space="preserve">80 à 100</t>
  </si>
  <si>
    <t xml:space="preserve">Les pratiques sont déployées, prouvées et revues. Le dirigeant dispose d’une vision claire, d’un plan tenu et de preuves récentes.</t>
  </si>
  <si>
    <t xml:space="preserve">Le risque devient le relâchement et l’angle mort : un nouvel outil, un nouveau prestataire, une boutique en ligne ou un usage d’IA introduits sans passer par les mêmes contrôles. Une note élevée accompagnée d’une alerte critique non traitée ou de nombreux « Je ne sais pas » reste une note trompeuse. Une évaluation qui date de plus de six mois ne décrit plus l’entreprise d’aujourd’hui.</t>
  </si>
  <si>
    <t xml:space="preserve">Il n’y a plus de palier au-dessus : le gain se joue sur la durée. Rester à ce niveau pendant que l’entreprise change, c’est éviter de refaire le chemin et conserver l’avantage acquis auprès des clients, des partenaires et de l’assureur.</t>
  </si>
  <si>
    <t xml:space="preserve">Refaire l’évaluation tous les six mois et après tout changement majeur. Traiter les alertes critiques restantes et les « Je ne sais pas ». Intégrer la sécurité aux achats, aux contrats et aux nouveaux projets. Contrôler la durée de vie des exceptions. Partager les bonnes pratiques avec les clients et fournisseurs.</t>
  </si>
  <si>
    <t xml:space="preserve">Entretien continu : une revue semestrielle et un point à chaque nouveau projet.</t>
  </si>
  <si>
    <t xml:space="preserve">Lecture automatique de votre score</t>
  </si>
  <si>
    <t xml:space="preserve">Recopié de Résultat. Vide tant qu’aucune réponse valide n’est saisie.</t>
  </si>
  <si>
    <t xml:space="preserve">Rang du palier atteint</t>
  </si>
  <si>
    <t xml:space="preserve">Position du palier dans le tableau ci-dessus, de 1 à 5.</t>
  </si>
  <si>
    <t xml:space="preserve">Même intitulé que celui affiché dans Résultat.</t>
  </si>
  <si>
    <t xml:space="preserve">Palier suivant</t>
  </si>
  <si>
    <t xml:space="preserve">Cible immédiate de progression.</t>
  </si>
  <si>
    <t xml:space="preserve">Points à gagner pour le palier suivant</t>
  </si>
  <si>
    <t xml:space="preserve">Écart entre le score et le seuil du palier suivant. Le tableau par domaine de Résultat, colonne Écart pondéré, indique où ces points se gagnent le plus vite.</t>
  </si>
  <si>
    <t xml:space="preserve">Règles de lecture du palier</t>
  </si>
  <si>
    <t xml:space="preserve">Une alerte critique prime sur la note</t>
  </si>
  <si>
    <t xml:space="preserve">Un contrôle critique insuffisant (colonne Priorité P1 du Questionnaire) doit être traité avant de viser un palier supérieur. Une bonne moyenne ne compense pas une porte ouverte : sauvegarde inexploitable, messagerie sans double authentification, accès distant exposé.</t>
  </si>
  <si>
    <t xml:space="preserve">Un score très renseigné vaut mieux qu’un score flatteur</t>
  </si>
  <si>
    <t xml:space="preserve">Les réponses « Je ne sais pas » et les cases vides ne rapportent aucun point : le score est volontairement conservateur. Un palier obtenu avec beaucoup d’inconnus reste provisoire tant que les vérifications ne sont pas faites.</t>
  </si>
  <si>
    <t xml:space="preserve">Progresser ne veut pas dire tout faire</t>
  </si>
  <si>
    <t xml:space="preserve">Pour gagner des points rapidement, traiter d’abord les contrôles de poids 3 et les six actions proposées dans Résultat. Un contrôle passé de « Partiellement » à « Vérifié et suivi » rapporte autant qu’un nouveau chantier, pour beaucoup moins d’effort.</t>
  </si>
  <si>
    <t xml:space="preserve">Le palier décrit l’organisation, pas la garantie d’être épargné</t>
  </si>
  <si>
    <t xml:space="preserve">Une entreprise Piloté peut subir un incident. Ce qui change, c’est la probabilité de l’éviter, le temps de détection, la durée d’arrêt et la capacité à prouver ce qui a été fait.</t>
  </si>
  <si>
    <t xml:space="preserve">Comparer deux évaluations n’a de sens qu’à périmètre identique</t>
  </si>
  <si>
    <t xml:space="preserve">Même parcours (Complet ou Essentiel), mêmes usages déclarés, mêmes poids et mêmes exclusions. Une progression obtenue en excluant des contrôles n’est pas une progression.</t>
  </si>
  <si>
    <t xml:space="preserve">Paliers, seuils et durées sont des choix éditoriaux de Mon Copain Cyber destinés aux indépendants, TPE et PME. Ils ne constituent ni un barème officiel de l’ANSSI, ni une certification, ni une garantie de conformité. Les seuils sont modifiables dans Barèmes : toute modification change l’interprétation affichée ici et dans Résultat.</t>
  </si>
  <si>
    <t xml:space="preserve">Repères pour l’entretien et la restitution</t>
  </si>
  <si>
    <t xml:space="preserve">Les conséquences sont des scénarios possibles. Elles ne constituent ni une prévision de sinistre ni une estimation automatique des pertes.</t>
  </si>
  <si>
    <t xml:space="preserve">N°</t>
  </si>
  <si>
    <t xml:space="preserve">Rapprochement MonAideCyber</t>
  </si>
  <si>
    <t xml:space="preserve">Conséquence possible des lacunes</t>
  </si>
  <si>
    <t xml:space="preserve">Ce que la progression apporte</t>
  </si>
  <si>
    <t xml:space="preserve">Références thématiques</t>
  </si>
  <si>
    <t xml:space="preserve">01</t>
  </si>
  <si>
    <t xml:space="preserve">Décisions tardives, dépenses subies et dépendance au dirigeant.</t>
  </si>
  <si>
    <t xml:space="preserve">Prioriser les protections utiles à l’activité et attribuer les responsabilités.</t>
  </si>
  <si>
    <t xml:space="preserve">A1 Q1, Q10, Q11 ; M1 ; M2</t>
  </si>
  <si>
    <t xml:space="preserve">02</t>
  </si>
  <si>
    <t xml:space="preserve">Oubli d’un outil vital, contrat perdu ou remise en service impossible.</t>
  </si>
  <si>
    <t xml:space="preserve">Savoir quoi protéger, qui intervient et ce qui doit repartir en premier.</t>
  </si>
  <si>
    <t xml:space="preserve">A1 Q1 ; M2</t>
  </si>
  <si>
    <t xml:space="preserve">03</t>
  </si>
  <si>
    <t xml:space="preserve">Sécurité des accès</t>
  </si>
  <si>
    <t xml:space="preserve">Messagerie détournée, fraude et accès aux données de clients.</t>
  </si>
  <si>
    <t xml:space="preserve">Limiter la prise de contrôle des comptes et conserver les moyens de récupération.</t>
  </si>
  <si>
    <t xml:space="preserve">A1 Q5 ; C1 ; M2</t>
  </si>
  <si>
    <t xml:space="preserve">04</t>
  </si>
  <si>
    <t xml:space="preserve">Anciens comptes exploités et propagation par des droits excessifs.</t>
  </si>
  <si>
    <t xml:space="preserve">Donner les bons droits, pour la bonne durée, aux personnes identifiées.</t>
  </si>
  <si>
    <t xml:space="preserve">A1 Q1, Q8 ; C1 ; M2</t>
  </si>
  <si>
    <t xml:space="preserve">05</t>
  </si>
  <si>
    <t xml:space="preserve">Sécurité des postes</t>
  </si>
  <si>
    <t xml:space="preserve">Rançongiciel, vol d’un portable et interruption du travail.</t>
  </si>
  <si>
    <t xml:space="preserve">Maintenir des équipements protégés et récupérables.</t>
  </si>
  <si>
    <t xml:space="preserve">A1 Q3, Q4, Q9 ; M2</t>
  </si>
  <si>
    <t xml:space="preserve">06</t>
  </si>
  <si>
    <t xml:space="preserve">Infrastructures et données</t>
  </si>
  <si>
    <t xml:space="preserve">Entrée depuis Internet et contamination du réseau de l’entreprise.</t>
  </si>
  <si>
    <t xml:space="preserve">Réduire les accès exposés et séparer les équipements à risque.</t>
  </si>
  <si>
    <t xml:space="preserve">A1 Q6, Q9 ; M2</t>
  </si>
  <si>
    <t xml:space="preserve">07</t>
  </si>
  <si>
    <t xml:space="preserve">Sensibilisation des utilisateurs</t>
  </si>
  <si>
    <t xml:space="preserve">Virement détourné, factures modifiées et clients escroqués.</t>
  </si>
  <si>
    <t xml:space="preserve">Vérifier les demandes sensibles et repérer les détournements de messagerie.</t>
  </si>
  <si>
    <t xml:space="preserve">A1 Q7, Q10 ; M2 ; M3</t>
  </si>
  <si>
    <t xml:space="preserve">08</t>
  </si>
  <si>
    <t xml:space="preserve">Perte de fichiers, ressaisie et impossibilité de redémarrer.</t>
  </si>
  <si>
    <t xml:space="preserve">Disposer de copies isolées et vérifier une restauration utilisable.</t>
  </si>
  <si>
    <t xml:space="preserve">A1 Q2 ; C1 ; M3</t>
  </si>
  <si>
    <t xml:space="preserve">09</t>
  </si>
  <si>
    <t xml:space="preserve">Fuite de fichiers clients, savoir-faire ou dossiers salariés.</t>
  </si>
  <si>
    <t xml:space="preserve">Limiter l’accès, la diffusion et la conservation des informations sensibles.</t>
  </si>
  <si>
    <t xml:space="preserve">C1 ; M2 ; M5</t>
  </si>
  <si>
    <t xml:space="preserve">10</t>
  </si>
  <si>
    <t xml:space="preserve">Incident chez un fournisseur, dépendance et perte de maîtrise des données.</t>
  </si>
  <si>
    <t xml:space="preserve">Clarifier les engagements et préparer une sortie du service.</t>
  </si>
  <si>
    <t xml:space="preserve">A1 Q13 ; C1 ; M2</t>
  </si>
  <si>
    <t xml:space="preserve">11</t>
  </si>
  <si>
    <t xml:space="preserve">Boutique bloquée, paiement détourné ou marque copiée.</t>
  </si>
  <si>
    <t xml:space="preserve">Protéger le site, les comptes publics et les clients contre l’usurpation.</t>
  </si>
  <si>
    <t xml:space="preserve">A1 Q1, Q3 ; C1 ; M6</t>
  </si>
  <si>
    <t xml:space="preserve">12</t>
  </si>
  <si>
    <t xml:space="preserve">Erreur non signalée, faux support et divulgation involontaire.</t>
  </si>
  <si>
    <t xml:space="preserve">Donner des réflexes simples et permettre une alerte rapide sans peur.</t>
  </si>
  <si>
    <t xml:space="preserve">A1 Q10 ; C1 ; M2 ; M3</t>
  </si>
  <si>
    <t xml:space="preserve">13</t>
  </si>
  <si>
    <t xml:space="preserve">Réaction à une cyberattaque</t>
  </si>
  <si>
    <t xml:space="preserve">Découverte tardive, preuves perdues et aggravation de l’incident.</t>
  </si>
  <si>
    <t xml:space="preserve">Repérer les anomalies, contenir l’attaque et déclencher l’assistance.</t>
  </si>
  <si>
    <t xml:space="preserve">A1 Q12 ; C2 ; M7</t>
  </si>
  <si>
    <t xml:space="preserve">14</t>
  </si>
  <si>
    <t xml:space="preserve">Commandes perdues, retards, pression de trésorerie et épuisement des équipes.</t>
  </si>
  <si>
    <t xml:space="preserve">Maintenir les activités vitales et organiser un retour contrôlé.</t>
  </si>
  <si>
    <t xml:space="preserve">A1 Q2, Q11, Q12 ; C1 ; M4</t>
  </si>
  <si>
    <t xml:space="preserve">Rapprochements thématiques éditoriaux : ils facilitent la lecture des six thèmes publics de MonAideCyber. Ils ne reproduisent pas sa notation et ne prouvent pas une équivalence avec son diagnostic.</t>
  </si>
  <si>
    <t xml:space="preserve">Action de référence</t>
  </si>
  <si>
    <t xml:space="preserve">Élément attendu</t>
  </si>
  <si>
    <t xml:space="preserve">Sources</t>
  </si>
  <si>
    <t xml:space="preserve">Désigner un référent et prévoir qui le remplace pendant ses absences.</t>
  </si>
  <si>
    <t xml:space="preserve">Identifier trois activités vitales et leurs outils indispensables.</t>
  </si>
  <si>
    <t xml:space="preserve">Réunir dirigeant et prestataire pour qualifier les impacts et les mesures prioritaires.</t>
  </si>
  <si>
    <t xml:space="preserve">Prévoir les moyens du plan d’action et arbitrer les dépenses prioritaires.</t>
  </si>
  <si>
    <t xml:space="preserve">Choisir six actions, attribuer les rôles et prévoir une revue mensuelle.</t>
  </si>
  <si>
    <t xml:space="preserve">Faire vérifier les obligations applicables, y compris les exigences clients. Ne pas déduire l’assujettissement de la seule taille.</t>
  </si>
  <si>
    <t xml:space="preserve">Demander une analyse au courtier et consigner la décision. Acheter un contrat n’est pas obligatoire pour obtenir les points.</t>
  </si>
  <si>
    <t xml:space="preserve">Ajouter une courte vérification cyber au choix des outils et prestataires.</t>
  </si>
  <si>
    <t xml:space="preserve">Créer un inventaire simple et le revoir lors des arrivées, départs et achats.</t>
  </si>
  <si>
    <t xml:space="preserve">Cartographier les données vitales et les services qui les hébergent.</t>
  </si>
  <si>
    <t xml:space="preserve">Recenser aussi les outils souscrits directement par les métiers.</t>
  </si>
  <si>
    <t xml:space="preserve">Repérer les équipements sans correctifs et planifier leur remplacement.</t>
  </si>
  <si>
    <t xml:space="preserve">Rassembler contrats, contacts de secours et numéros de dossier.</t>
  </si>
  <si>
    <t xml:space="preserve">Mettre le domaine au nom de l’entreprise et vérifier les renouvellements.</t>
  </si>
  <si>
    <t xml:space="preserve">Prévoir une seconde personne habilitée et une solution de secours proportionnée.</t>
  </si>
  <si>
    <t xml:space="preserve">Inventorier les équipements métier et préciser support, accès et criticité.</t>
  </si>
  <si>
    <t xml:space="preserve">Activer un second facteur. Privilégier les méthodes résistantes au phishing quand disponibles.</t>
  </si>
  <si>
    <t xml:space="preserve">Activer la double authentification et supprimer les anciens modes de connexion non protégés.</t>
  </si>
  <si>
    <t xml:space="preserve">Protéger les comptes sensibles par plusieurs facteurs et documenter les rares exceptions.</t>
  </si>
  <si>
    <t xml:space="preserve">Remplacer les mots de passe réutilisés et adapter leur robustesse aux recommandations actuelles.</t>
  </si>
  <si>
    <t xml:space="preserve">Déployer un coffre adapté et former à son utilisation sans partage en clair.</t>
  </si>
  <si>
    <t xml:space="preserve">Vérifier la récupération sans dépendre d’un salarié parti ou d’un seul téléphone.</t>
  </si>
  <si>
    <t xml:space="preserve">Modifier les accès d’usine et supprimer les comptes inutiles.</t>
  </si>
  <si>
    <t xml:space="preserve">Prévoir la révocation des sessions, des jetons et des accès compromis depuis un appareil sain.</t>
  </si>
  <si>
    <t xml:space="preserve">Créer des comptes individuels et limiter les comptes partagés résiduels.</t>
  </si>
  <si>
    <t xml:space="preserve">Mettre en place une liste de sortie avec responsable et vérification le jour du départ.</t>
  </si>
  <si>
    <t xml:space="preserve">Retirer les droits d’administration usuels et utiliser un compte dédié aux interventions.</t>
  </si>
  <si>
    <t xml:space="preserve">Revoir les groupes et donner uniquement les accès nécessaires au travail.</t>
  </si>
  <si>
    <t xml:space="preserve">Organiser une revue régulière et supprimer les comptes devenus inutiles.</t>
  </si>
  <si>
    <t xml:space="preserve">Encadrer la télémaintenance et fermer les accès après intervention si possible.</t>
  </si>
  <si>
    <t xml:space="preserve">Révoquer les connexions inutiles et réduire les autorisations des applications.</t>
  </si>
  <si>
    <t xml:space="preserve">Prévoir un accès de secours contrôlé et en tester la récupération.</t>
  </si>
  <si>
    <t xml:space="preserve">Activer une protection adaptée, contrôler sa couverture et désigner qui traite les alertes.</t>
  </si>
  <si>
    <t xml:space="preserve">Automatiser les mises à jour et corriger rapidement les échecs sur les outils exposés.</t>
  </si>
  <si>
    <t xml:space="preserve">Remplacer les systèmes obsolètes. Isoler provisoirement ceux qui ne peuvent pas être remplacés.</t>
  </si>
  <si>
    <t xml:space="preserve">Activer le chiffrement du disque et vérifier la récupération avant généralisation.</t>
  </si>
  <si>
    <t xml:space="preserve">Configurer le verrouillage et diffuser le réflexe de verrouiller en quittant le poste.</t>
  </si>
  <si>
    <t xml:space="preserve">Sécuriser les téléphones et encadrer les données professionnelles sur appareils personnels.</t>
  </si>
  <si>
    <t xml:space="preserve">Supprimer les outils inutiles et faire valider les installations par le référent.</t>
  </si>
  <si>
    <t xml:space="preserve">Encadrer l’usage des clés USB et effacer les données avant réemploi ou recyclage.</t>
  </si>
  <si>
    <t xml:space="preserve">Faire revoir le filtrage, mettre à jour et fermer l’administration publique inutile.</t>
  </si>
  <si>
    <t xml:space="preserve">Fermer les services inutiles et sécuriser les accès indispensables.</t>
  </si>
  <si>
    <t xml:space="preserve">Créer un réseau invité isolé et tester cette séparation.</t>
  </si>
  <si>
    <t xml:space="preserve">Revoir la sécurité Wi-Fi et renouveler les accès lors d’un départ si nécessaire.</t>
  </si>
  <si>
    <t xml:space="preserve">Isoler les équipements connectés et limiter leurs communications.</t>
  </si>
  <si>
    <t xml:space="preserve">Définir les conditions de télétravail et éviter les accès depuis des appareils non maîtrisés.</t>
  </si>
  <si>
    <t xml:space="preserve">Attribuer la maintenance et traiter rapidement les vulnérabilités exposées.</t>
  </si>
  <si>
    <t xml:space="preserve">Limiter l’accès physique et protéger les équipements des incidents locaux.</t>
  </si>
  <si>
    <t xml:space="preserve">Vérifier le filtrage de messagerie et créer un canal de signalement simple.</t>
  </si>
  <si>
    <t xml:space="preserve">Imposer un rappel indépendant avant tout changement de coordonnées bancaires.</t>
  </si>
  <si>
    <t xml:space="preserve">Définir des seuils, une seconde validation si possible et une procédure d’exception.</t>
  </si>
  <si>
    <t xml:space="preserve">Configurer progressivement l’authentification du domaine sans bloquer les envois légitimes.</t>
  </si>
  <si>
    <t xml:space="preserve">Supprimer les règles inconnues et alerter sur les nouvelles redirections externes.</t>
  </si>
  <si>
    <t xml:space="preserve">Définir une vérification hors du canal initial pour les demandes sensibles.</t>
  </si>
  <si>
    <t xml:space="preserve">Faire vérifier les protections Office et éviter l’activation de contenu à la demande d’un expéditeur.</t>
  </si>
  <si>
    <t xml:space="preserve">Formaliser le contrôle des factures modifiées et des demandes de remboursement.</t>
  </si>
  <si>
    <t xml:space="preserve">Mettre en place des sauvegardes couvrant toutes les données vitales selon la perte acceptable.</t>
  </si>
  <si>
    <t xml:space="preserve">Créer une copie hors d’atteinte des comptes de production et contrôler son isolement.</t>
  </si>
  <si>
    <t xml:space="preserve">Restaurer un échantillon représentatif dans un environnement sûr et consigner le résultat.</t>
  </si>
  <si>
    <t xml:space="preserve">Mettre en place une alerte de défaut et un contrôle régulier des sauvegardes.</t>
  </si>
  <si>
    <t xml:space="preserve">Organiser une copie externalisée sécurisée. La règle 3-2-1 n’assure pas à elle seule l’isolement cyber.</t>
  </si>
  <si>
    <t xml:space="preserve">Séparer les identités de sauvegarde des comptes d’usage et d’administration courante.</t>
  </si>
  <si>
    <t xml:space="preserve">Vérifier les possibilités de restauration des mails, fichiers et logiciels en ligne.</t>
  </si>
  <si>
    <t xml:space="preserve">Définir la rétention et sauvegarder ce qui permet de reconstruire les applications.</t>
  </si>
  <si>
    <t xml:space="preserve">Classer simplement les données et identifier celles qui nécessitent une protection renforcée.</t>
  </si>
  <si>
    <t xml:space="preserve">Restreindre les partages aux destinataires utiles et supprimer les liens publics inutiles.</t>
  </si>
  <si>
    <t xml:space="preserve">Utiliser un partage sécurisé et vérifier le destinataire avant envoi.</t>
  </si>
  <si>
    <t xml:space="preserve">Supprimer les copies inutiles et fixer les durées adaptées aux finalités et obligations.</t>
  </si>
  <si>
    <t xml:space="preserve">Documenter les usages de données et les mesures de sécurité associées.</t>
  </si>
  <si>
    <t xml:space="preserve">Limiter la diffusion des plans, recettes, études et dossiers clients.</t>
  </si>
  <si>
    <t xml:space="preserve">Encadrer les saisies dans l’IA et vérifier les paramètres de confidentialité et de conservation.</t>
  </si>
  <si>
    <t xml:space="preserve">Prévoir le rangement des documents, la destruction et la discrétion aux postes d’accueil.</t>
  </si>
  <si>
    <t xml:space="preserve">Clarifier par écrit les tâches de l’entreprise et du prestataire.</t>
  </si>
  <si>
    <t xml:space="preserve">Prévoir l’alerte, les informations à fournir et les modalités d’assistance.</t>
  </si>
  <si>
    <t xml:space="preserve">Faire une revue des paramètres utiles de la messagerie et du stockage cloud.</t>
  </si>
  <si>
    <t xml:space="preserve">Tester un export et documenter une solution de sortie du fournisseur.</t>
  </si>
  <si>
    <t xml:space="preserve">Vérifier la localisation et les engagements de traitement avec l’aide adaptée si nécessaire.</t>
  </si>
  <si>
    <t xml:space="preserve">Demander des preuves proportionnées aux accès et à la criticité du service.</t>
  </si>
  <si>
    <t xml:space="preserve">Préparer une relève sans dépendre d’un mot de passe ou d’un technicien unique.</t>
  </si>
  <si>
    <t xml:space="preserve">Encadrer la sous-traitance et vérifier le retrait des accès en fin de mission.</t>
  </si>
  <si>
    <t xml:space="preserve">Mettre à jour, supprimer les composants inutiles et prévoir une restauration avant changement.</t>
  </si>
  <si>
    <t xml:space="preserve">Corriger les certificats et contrôler le renouvellement automatique.</t>
  </si>
  <si>
    <t xml:space="preserve">Sécuriser les consoles, supprimer les accès anciens et garder la maîtrise du domaine.</t>
  </si>
  <si>
    <t xml:space="preserve">Utiliser un prestataire adapté et éviter de stocker les données de cartes dans la boutique.</t>
  </si>
  <si>
    <t xml:space="preserve">Faire vérifier les droits clients et le parcours par le mainteneur ou un spécialiste autorisé.</t>
  </si>
  <si>
    <t xml:space="preserve">Organiser une veille simple et conserver les preuves des copies ou faux comptes.</t>
  </si>
  <si>
    <t xml:space="preserve">Reprendre les accès, retirer les anciens intervenants et publier les coordonnées officielles.</t>
  </si>
  <si>
    <t xml:space="preserve">Inclure des contrôles de sécurité proportionnés et faire corriger les défauts critiques.</t>
  </si>
  <si>
    <t xml:space="preserve">Prévoir une séance pratique et des rappels réguliers, dirigeant compris.</t>
  </si>
  <si>
    <t xml:space="preserve">Expliquer à qui signaler immédiatement et remercier les personnes qui alertent.</t>
  </si>
  <si>
    <t xml:space="preserve">Inclure mots de passe, partage, fraude et alerte dès l’arrivée.</t>
  </si>
  <si>
    <t xml:space="preserve">Travailler les scénarios réellement rencontrés par ces fonctions.</t>
  </si>
  <si>
    <t xml:space="preserve">Rédiger une charte courte et vérifier la compréhension sans collecte excessive.</t>
  </si>
  <si>
    <t xml:space="preserve">Limiter les usages à risque et expliquer la procédure en cas de perte.</t>
  </si>
  <si>
    <t xml:space="preserve">Tester une demande de paiement ou un message douteux puis corriger les difficultés.</t>
  </si>
  <si>
    <t xml:space="preserve">Choisir une source officielle et prévoir qui traite les alertes pertinentes.</t>
  </si>
  <si>
    <t xml:space="preserve">Imprimer une fiche d’urgence et conserver une copie accessible au remplaçant.</t>
  </si>
  <si>
    <t xml:space="preserve">Activer les alertes utiles et convenir d’un délai de prise en compte adapté.</t>
  </si>
  <si>
    <t xml:space="preserve">Définir la conservation selon besoins, contrat et minimisation. Tester l’accès aux journaux.</t>
  </si>
  <si>
    <t xml:space="preserve">Écrire une procédure courte et la tester avec les personnes concernées.</t>
  </si>
  <si>
    <t xml:space="preserve">Préparer la récupération de compte et la vérification des accès persistants.</t>
  </si>
  <si>
    <t xml:space="preserve">Documenter toute violation. Notifier la CNIL si risque, si possible sous 72 h après connaissance. Informer les personnes si risque élevé, sauf exception prévue.</t>
  </si>
  <si>
    <t xml:space="preserve">Prévoir qui sollicite l’assistance, rassemble les éléments et dépose plainte.</t>
  </si>
  <si>
    <t xml:space="preserve">Noter les faits, les décisions et les actions de prévention après chaque événement.</t>
  </si>
  <si>
    <t xml:space="preserve">Fixer des objectifs réalistes de reprise et de perte de données, puis comparer aux capacités.</t>
  </si>
  <si>
    <t xml:space="preserve">Préparer des moyens simples de continuer le travail et de ressaisir ensuite.</t>
  </si>
  <si>
    <t xml:space="preserve">Construire un plan de reprise avec le prestataire et les responsables métier.</t>
  </si>
  <si>
    <t xml:space="preserve">Simuler une indisponibilité du logiciel principal et tester les décisions.</t>
  </si>
  <si>
    <t xml:space="preserve">Préparer l’information des partenaires et les consignes contre les fraudes de rebond.</t>
  </si>
  <si>
    <t xml:space="preserve">Évaluer la capacité à tenir et les contrats à traiter en priorité sans inventer de coût standard.</t>
  </si>
  <si>
    <t xml:space="preserve">Ne reconnecter qu’après traitement de la cause et validation technique et métier.</t>
  </si>
  <si>
    <t xml:space="preserve">Répartir les tâches, prévoir les remplacements et surveiller l’épuisement.</t>
  </si>
  <si>
    <t xml:space="preserve">Effort : Court = règle ou vérification ciblée, souvent moins d’une demi-journée de travail actif. Moyen = préparation et déploiement, souvent une demi-journée à deux jours. Projet = cadrage spécifique. Ces ordres de grandeur ne sont ni un devis ni un engagement de délai.</t>
  </si>
  <si>
    <t xml:space="preserve">Mode d’emploi et lecture des résultats</t>
  </si>
  <si>
    <t xml:space="preserve">Objet</t>
  </si>
  <si>
    <t xml:space="preserve">Auto-évaluation TPE/PME de 112 contrôles dans 14 domaines. Parcours essentiel de 35 contrôles avant exclusions. Outil destiné au dirigeant avec son référent ou son prestataire.</t>
  </si>
  <si>
    <t xml:space="preserve">Commencer</t>
  </si>
  <si>
    <t xml:space="preserve">Renseigner Entreprise : périmètre, parcours, usages et date. Répondre dans Questionnaire, colonne E. Documenter les observations en F et indiquer une date de test lorsque possible.</t>
  </si>
  <si>
    <t xml:space="preserve">Répondre honnêtement</t>
  </si>
  <si>
    <t xml:space="preserve">Choisir 0 à 4 selon l’état réel. Le niveau 4 exige une preuve récente et un suivi. Pour une question composée, retenir le niveau du volet le moins couvert. « Je ne sais pas » déclenche une vérification.</t>
  </si>
  <si>
    <t xml:space="preserve">Ce qui est calculé</t>
  </si>
  <si>
    <t xml:space="preserve">Le score conservateur tient compte de tous les contrôles retenus, y compris les blancs. Il apparaît après la première réponse valide. Le niveau reste provisoire tant que le cadrage, les réponses, les inconnus ou les preuves attendues restent incomplets.</t>
  </si>
  <si>
    <t xml:space="preserve">Complétude</t>
  </si>
  <si>
    <t xml:space="preserve">Renseigné = réponse reconnue, y compris « Je ne sais pas ». Connu = réponse de 0 à 4. Le tableau présente aussi le nombre d’inconnus. Un score bas au début peut simplement refléter les points encore non examinés.</t>
  </si>
  <si>
    <t xml:space="preserve">Exclusions</t>
  </si>
  <si>
    <t xml:space="preserve">Le choix Non dans les usages désactive les questions concernées. À confirmer les conserve. Les exceptions manuelles Exclure nécessitent une justification. Inclure réactive le contrôle dans le parcours choisi. Il ne réactive pas un contrôle hors du parcours essentiel.</t>
  </si>
  <si>
    <t xml:space="preserve">Prestations externalisées</t>
  </si>
  <si>
    <t xml:space="preserve">L’externalisation ne supprime pas le besoin de contrôle. Évaluer les engagements et preuves du prestataire. Un logiciel SaaS ou une messagerie hébergée reste un usage cloud.</t>
  </si>
  <si>
    <t xml:space="preserve">Poids et niveaux</t>
  </si>
  <si>
    <t xml:space="preserve">Les poids des contrôles sont modifiables en K du Questionnaire. Coefficients et seuils sont dans Barèmes. La note globale est une moyenne pondérée des contrôles actifs. Le poids d’un domaine dépend donc des contrôles conservés.</t>
  </si>
  <si>
    <t xml:space="preserve">Alertes critiques</t>
  </si>
  <si>
    <t xml:space="preserve">Un contrôle Critique = 1 sous le coefficient minimal déclenche une alerte, même avec une bonne moyenne. Les critiques non évalués sont comptés séparément des lacunes déclarées. Le score ne mesure pas une probabilité d’attaque.</t>
  </si>
  <si>
    <t xml:space="preserve">Six premières actions</t>
  </si>
  <si>
    <t xml:space="preserve">Le classement propose d’abord P1, puis P2 à P4, avec l’écart pondéré décroissant et l’identifiant comme départage. Les inconnus appellent une vérification avant de confirmer la remédiation. Toutes les actions restent dans Plan action.</t>
  </si>
  <si>
    <t xml:space="preserve">Suivi des actions</t>
  </si>
  <si>
    <t xml:space="preserve">Nommer un responsable et fixer une échéance. Terminé exige un responsable, une preuve et une date de validation. Mettre à jour le Questionnaire après réalisation : le statut seul ne fait pas monter le score.</t>
  </si>
  <si>
    <t xml:space="preserve">Nouvelle évaluation</t>
  </si>
  <si>
    <t xml:space="preserve">Conserver une copie datée dans l’entreprise. Refaire le diagnostic à six mois ou après un changement majeur. Comparer uniquement des périmètres, parcours et barèmes identiques, en documentant les différences.</t>
  </si>
  <si>
    <t xml:space="preserve">Conservation et confidentialité</t>
  </si>
  <si>
    <t xml:space="preserve">Le classeur ne collecte ni ne transmet automatiquement les réponses. Le fichier complété reste sous la responsabilité de l’entreprise. Le modèle diffusé par le site doit rester vierge. Éviter noms de comptes sensibles, mots de passe et détails d’exploitation.</t>
  </si>
  <si>
    <t xml:space="preserve">Portée</t>
  </si>
  <si>
    <t xml:space="preserve">Outil pédagogique Mon Copain Cyber, sans certification, homologation ou validation de l’ANSSI. Il complète la démarche et ne remplace pas le diagnostic officiel accompagné MonAideCyber, un audit technique ou une analyse juridique spécifique.</t>
  </si>
  <si>
    <t xml:space="preserve">TPE sans salarié</t>
  </si>
  <si>
    <t xml:space="preserve">Le classeur peut servir à une activité individuelle grâce aux exclusions. L’éligibilité au dispositif accompagné MonAideCyber doit être vérifiée séparément sur son portail ; elle ne découle pas de ce score.</t>
  </si>
  <si>
    <t xml:space="preserve">En cas d’attaque</t>
  </si>
  <si>
    <t xml:space="preserve">Traiter l’incident immédiatement, sans attendre la fin de l’évaluation. Utiliser le dispositif 17Cyber et le prestataire d’assistance, prévenir la banque si des fonds sont en jeu et conserver les preuves.</t>
  </si>
  <si>
    <t xml:space="preserve">Utilisation du fichier</t>
  </si>
  <si>
    <t xml:space="preserve">Classeur sans macro. Calcul automatique requis. Les cellules jaunes sont les saisies habituelles ; les formules restent visibles. Feuilles non verrouillées pour permettre l’adaptation : conserver un original vierge.</t>
  </si>
  <si>
    <t xml:space="preserve">Analyse du site</t>
  </si>
  <si>
    <t xml:space="preserve">Accueil, risques, agir, continuité, risque juridique, boutique en ligne, incident et MonAideCyber ont été consultés. Leurs thèmes sont traduits en contrôles, avec une approche commerciale, humaine et organisationnelle adaptée aux petites entreprises.</t>
  </si>
  <si>
    <t xml:space="preserve">Choix éditoriaux</t>
  </si>
  <si>
    <t xml:space="preserve">Ajout de contrôles proportionnés sur l’IA, les dépendances, la sortie des prestataires et la validation de reprise. Aucun SOC 24/7, certification ISO ou outillage de grand groupe n’est exigé par principe.</t>
  </si>
  <si>
    <t xml:space="preserve">Actualisation</t>
  </si>
  <si>
    <t xml:space="preserve">Version 1.1 du 14/09/2026, ajout de la feuille Paliers. Les obligations dépendent de l’activité et des textes en vigueur. Les délais d’action du barème sont indicatifs. Revoir le modèle quand les usages ou recommandations évoluent.</t>
  </si>
  <si>
    <t xml:space="preserve">Paliers et progression</t>
  </si>
  <si>
    <t xml:space="preserve">La feuille Paliers explique les cinq niveaux de la note sur 100 : signification, risques à rester au niveau atteint, bénéfices du palier supérieur, leviers et effort indicatif. Résultat affiche automatiquement le palier obtenu, l’écart de points jusqu’au suivant et les textes correspondants. Les points se gagnent en priorité dans les domaines dont l’écart pondéré est le plus élevé.</t>
  </si>
  <si>
    <t xml:space="preserve">Sources et périmètre documentaire</t>
  </si>
  <si>
    <t xml:space="preserve">Références consultées le 14/09/2026. Les codes renvoient aux questions et aux domaines dans Repères.</t>
  </si>
  <si>
    <t xml:space="preserve">Code</t>
  </si>
  <si>
    <t xml:space="preserve">Organisme</t>
  </si>
  <si>
    <t xml:space="preserve">Document / page</t>
  </si>
  <si>
    <t xml:space="preserve">Adresse</t>
  </si>
  <si>
    <t xml:space="preserve">Utilisation et limite</t>
  </si>
  <si>
    <t xml:space="preserve">Consultation</t>
  </si>
  <si>
    <t xml:space="preserve">A1</t>
  </si>
  <si>
    <t xml:space="preserve">ANSSI</t>
  </si>
  <si>
    <t xml:space="preserve">La cybersécurité pour les TPE/PME en 13 questions, v2, décembre 2024</t>
  </si>
  <si>
    <t xml:space="preserve">https://messervices.cyber.gouv.fr/documents-guides/20241212_np_anssi_guide_tpe-pme_v2.pdf</t>
  </si>
  <si>
    <t xml:space="preserve">Socle : inventaire, sauvegarde, correctifs, antivirus, accès, réseau, mail, mobilité, sensibilisation, assurance, incidents et cloud. PDF consulté.</t>
  </si>
  <si>
    <t xml:space="preserve">A2</t>
  </si>
  <si>
    <t xml:space="preserve">ANSSI / MesServicesCyber</t>
  </si>
  <si>
    <t xml:space="preserve">Présentation du diagnostic MonAideCyber</t>
  </si>
  <si>
    <t xml:space="preserve">https://messervices.cyber.gouv.fr/</t>
  </si>
  <si>
    <t xml:space="preserve">Accompagnement et six recommandations prioritaires. Source consultée. Ce classeur utilise son propre questionnaire et son propre barème.</t>
  </si>
  <si>
    <t xml:space="preserve">A3</t>
  </si>
  <si>
    <t xml:space="preserve">MonAideCyber / ANSSI</t>
  </si>
  <si>
    <t xml:space="preserve">Portail du dispositif</t>
  </si>
  <si>
    <t xml:space="preserve">https://monaide.cyber.gouv.fr/</t>
  </si>
  <si>
    <t xml:space="preserve">Portail officiel identifié. Le questionnaire applicatif complet n’a pas été extrait. Aucune reproduction ni équivalence officielle revendiquée.</t>
  </si>
  <si>
    <t xml:space="preserve">C1</t>
  </si>
  <si>
    <t xml:space="preserve">CNIL</t>
  </si>
  <si>
    <t xml:space="preserve">Guide de la sécurité des données personnelles</t>
  </si>
  <si>
    <t xml:space="preserve">https://www.cnil.fr/fr/guide-de-la-securite-des-donnees-personnelles</t>
  </si>
  <si>
    <t xml:space="preserve">Référence pour données, habilitations, cloud, sous-traitance, continuité et sécurité web. Index des fiches consulté.</t>
  </si>
  <si>
    <t xml:space="preserve">C2</t>
  </si>
  <si>
    <t xml:space="preserve">Sécurité : gérer les incidents et les violations</t>
  </si>
  <si>
    <t xml:space="preserve">https://www.cnil.fr/fr/securite-gerer-les-incidents-et-les-violations</t>
  </si>
  <si>
    <t xml:space="preserve">Documentation des violations, appréciation du risque et notification. Éviter d’attendre un dossier complet pour une première notification nécessaire.</t>
  </si>
  <si>
    <t xml:space="preserve">M1</t>
  </si>
  <si>
    <t xml:space="preserve">Mon Copain Cyber</t>
  </si>
  <si>
    <t xml:space="preserve">Accueil et positionnement</t>
  </si>
  <si>
    <t xml:space="preserve">http://moncopaincyber.fr/index.html</t>
  </si>
  <si>
    <t xml:space="preserve">Lecture intégrale : accompagnement des TPE/PME, neutralité commerciale, protection de l’activité, des emplois et de la relation client.</t>
  </si>
  <si>
    <t xml:space="preserve">M2</t>
  </si>
  <si>
    <t xml:space="preserve">Les risques pour votre entreprise</t>
  </si>
  <si>
    <t xml:space="preserve">http://moncopaincyber.fr/risques.html</t>
  </si>
  <si>
    <t xml:space="preserve">Lecture intégrale : huit scénarios et dix domaines. La présente grille approfondit leur traduction en contrôles pratiques.</t>
  </si>
  <si>
    <t xml:space="preserve">M3</t>
  </si>
  <si>
    <t xml:space="preserve">Par où commencer</t>
  </si>
  <si>
    <t xml:space="preserve">http://moncopaincyber.fr/agir.html</t>
  </si>
  <si>
    <t xml:space="preserve">Lecture intégrale : mesures immédiates, auto-évaluation de 20 points et progression sur trois mois. Parcours essentiel enrichi dans ce classeur.</t>
  </si>
  <si>
    <t xml:space="preserve">M4</t>
  </si>
  <si>
    <t xml:space="preserve">Continuité d’activité</t>
  </si>
  <si>
    <t xml:space="preserve">http://moncopaincyber.fr/continuite.html</t>
  </si>
  <si>
    <t xml:space="preserve">Lecture : effets sur clients, fournisseurs, salariés et trésorerie. Pas de montant de perte ou délai de reprise supposé pour l’entreprise.</t>
  </si>
  <si>
    <t xml:space="preserve">M5</t>
  </si>
  <si>
    <t xml:space="preserve">Risque juridique</t>
  </si>
  <si>
    <t xml:space="preserve">http://moncopaincyber.fr/risque-juridique.html</t>
  </si>
  <si>
    <t xml:space="preserve">Lecture : obligations et rebond chez un client. Les contrôles portent sur l’identification des exigences, sans calcul automatique d’amendes.</t>
  </si>
  <si>
    <t xml:space="preserve">M6</t>
  </si>
  <si>
    <t xml:space="preserve">Boutique en ligne et usurpation</t>
  </si>
  <si>
    <t xml:space="preserve">http://moncopaincyber.fr/boutique-en-ligne.html</t>
  </si>
  <si>
    <t xml:space="preserve">Lecture : marque copiée, faux sites, faux comptes et atteinte à la réputation, y compris sans boutique propre.</t>
  </si>
  <si>
    <t xml:space="preserve">M7</t>
  </si>
  <si>
    <t xml:space="preserve">http://moncopaincyber.fr/incident.html</t>
  </si>
  <si>
    <t xml:space="preserve">Lecture : premiers gestes, preuves, banque, comptes, partenaires et reprise.</t>
  </si>
  <si>
    <t xml:space="preserve">M8</t>
  </si>
  <si>
    <t xml:space="preserve">Présentation de MonAideCyber</t>
  </si>
  <si>
    <t xml:space="preserve">http://moncopaincyber.fr/monaidecyber.html</t>
  </si>
  <si>
    <t xml:space="preserve">Lecture : accompagnement et orientation. Ce fichier reste un outil autonome conservé par l’entreprise.</t>
  </si>
  <si>
    <t xml:space="preserve">T1</t>
  </si>
  <si>
    <t xml:space="preserve">Fichier fourni par Christophe Bériol</t>
  </si>
  <si>
    <t xml:space="preserve">Calculateur_Visibilite_WEB_PRESENCE_PRO.xlsx</t>
  </si>
  <si>
    <t xml:space="preserve">Pièce jointe fournie</t>
  </si>
  <si>
    <t xml:space="preserve">Architecture reprise : fiche entreprise, réponses, barème, exclusions, synthèse, argumentaires. Aucun contenu commercial ni résultat du modèle repris.</t>
  </si>
  <si>
    <t xml:space="preserve">E1</t>
  </si>
  <si>
    <t xml:space="preserve">Conception Mon Copain Cyber</t>
  </si>
  <si>
    <t xml:space="preserve">Méthode spécifique à ce classeur, version 1.0</t>
  </si>
  <si>
    <t xml:space="preserve">Méthode et Barèmes</t>
  </si>
  <si>
    <t xml:space="preserve">Questions originales, poids 1 à 3, seuils de maturité, criticité et délais indicatifs : choix éditoriaux à adapter. Ce ne sont pas des normes ANSSI.</t>
  </si>
  <si>
    <t xml:space="preserve">Les pages Mon Copain Cyber ont été récupérées en HTTP après échec de l’accès HTTPS lors de la consultation. Leur contenu a été lu. Ce constat d’accès documentaire n’est pas un audit technique de votre site.</t>
  </si>
  <si>
    <t xml:space="preserve">Adaptations : le 3-2-1 distingue une copie hors site de la protection hors ligne ou immuable. La notification CNIL dépend du risque pour les personnes. Les statistiques, prix et affirmations juridiques non nécessaires du site n’ont pas été repris.</t>
  </si>
  <si>
    <t xml:space="preserve">Le fichier technique fourni comporte 64 questions et sept onglets. Cette version reprend sa logique de calcul et de restitution, avec des questions cyber originales. Les références sont des ancrages thématiques ; les coefficients et délais proposés relèvent de la conception du classeur.</t>
  </si>
</sst>
</file>

<file path=xl/styles.xml><?xml version="1.0" encoding="utf-8"?>
<styleSheet xmlns="http://schemas.openxmlformats.org/spreadsheetml/2006/main">
  <numFmts count="8">
    <numFmt numFmtId="164" formatCode="General"/>
    <numFmt numFmtId="165" formatCode="0.0"/>
    <numFmt numFmtId="166" formatCode="0%"/>
    <numFmt numFmtId="167" formatCode="General"/>
    <numFmt numFmtId="168" formatCode="0.00"/>
    <numFmt numFmtId="169" formatCode="0"/>
    <numFmt numFmtId="170" formatCode="dd/mm/yyyy"/>
    <numFmt numFmtId="171" formatCode="#,##0.00"/>
  </numFmts>
  <fonts count="20">
    <font>
      <sz val="10"/>
      <name val="Arial"/>
      <family val="2"/>
      <charset val="1"/>
    </font>
    <font>
      <sz val="10"/>
      <name val="Arial"/>
      <family val="0"/>
    </font>
    <font>
      <sz val="10"/>
      <name val="Arial"/>
      <family val="0"/>
    </font>
    <font>
      <sz val="10"/>
      <name val="Arial"/>
      <family val="0"/>
    </font>
    <font>
      <sz val="11"/>
      <color rgb="FF172B4D"/>
      <name val="Arial"/>
      <family val="0"/>
      <charset val="1"/>
    </font>
    <font>
      <b val="true"/>
      <sz val="17"/>
      <color rgb="FF20385E"/>
      <name val="Arial"/>
      <family val="0"/>
      <charset val="1"/>
    </font>
    <font>
      <sz val="11"/>
      <color rgb="FF5C6878"/>
      <name val="Arial"/>
      <family val="0"/>
      <charset val="1"/>
    </font>
    <font>
      <b val="true"/>
      <sz val="24"/>
      <color rgb="FF922344"/>
      <name val="Arial"/>
      <family val="0"/>
      <charset val="1"/>
    </font>
    <font>
      <b val="true"/>
      <sz val="18"/>
      <color rgb="FF20385E"/>
      <name val="Arial"/>
      <family val="0"/>
      <charset val="1"/>
    </font>
    <font>
      <b val="true"/>
      <sz val="14"/>
      <color rgb="FF922344"/>
      <name val="Arial"/>
      <family val="0"/>
      <charset val="1"/>
    </font>
    <font>
      <b val="true"/>
      <sz val="11"/>
      <color rgb="FFFFFFFF"/>
      <name val="Arial"/>
      <family val="0"/>
      <charset val="1"/>
    </font>
    <font>
      <b val="true"/>
      <sz val="11"/>
      <color rgb="FF20385E"/>
      <name val="Arial"/>
      <family val="0"/>
      <charset val="1"/>
    </font>
    <font>
      <b val="true"/>
      <sz val="11"/>
      <color rgb="FF922344"/>
      <name val="Arial"/>
      <family val="0"/>
      <charset val="1"/>
    </font>
    <font>
      <b val="true"/>
      <sz val="10.5"/>
      <color rgb="FF000000"/>
      <name val="Arial"/>
      <family val="2"/>
    </font>
    <font>
      <sz val="8.25"/>
      <color rgb="FF000000"/>
      <name val="Arial"/>
      <family val="2"/>
    </font>
    <font>
      <sz val="11"/>
      <color rgb="FF1745A0"/>
      <name val="Arial"/>
      <family val="0"/>
      <charset val="1"/>
    </font>
    <font>
      <b val="true"/>
      <sz val="13"/>
      <color rgb="FF20385E"/>
      <name val="Arial"/>
      <family val="0"/>
      <charset val="1"/>
    </font>
    <font>
      <b val="true"/>
      <sz val="12"/>
      <color rgb="FF922344"/>
      <name val="Arial"/>
      <family val="0"/>
      <charset val="1"/>
    </font>
    <font>
      <b val="true"/>
      <sz val="11"/>
      <color rgb="FF172B4D"/>
      <name val="Arial"/>
      <family val="0"/>
      <charset val="1"/>
    </font>
    <font>
      <sz val="11"/>
      <color rgb="FF1854A0"/>
      <name val="Arial"/>
      <family val="0"/>
      <charset val="1"/>
    </font>
  </fonts>
  <fills count="6">
    <fill>
      <patternFill patternType="none"/>
    </fill>
    <fill>
      <patternFill patternType="gray125"/>
    </fill>
    <fill>
      <patternFill patternType="solid">
        <fgColor rgb="FF20385E"/>
        <bgColor rgb="FF172B4D"/>
      </patternFill>
    </fill>
    <fill>
      <patternFill patternType="solid">
        <fgColor rgb="FFFFF2CC"/>
        <bgColor rgb="FFFCE4E4"/>
      </patternFill>
    </fill>
    <fill>
      <patternFill patternType="solid">
        <fgColor rgb="FFF2F5FA"/>
        <bgColor rgb="FFEEF2F7"/>
      </patternFill>
    </fill>
    <fill>
      <patternFill patternType="solid">
        <fgColor rgb="FFEEF2F7"/>
        <bgColor rgb="FFF2F5FA"/>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5" fontId="7" fillId="0" borderId="0" xfId="0" applyFont="true" applyBorder="false" applyAlignment="true" applyProtection="false">
      <alignment horizontal="general" vertical="center" textRotation="0" wrapText="false" indent="0" shrinkToFit="false"/>
      <protection locked="true" hidden="false"/>
    </xf>
    <xf numFmtId="166" fontId="8"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10" fillId="2"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5" fontId="4" fillId="0" borderId="0" xfId="0" applyFont="true" applyBorder="false" applyAlignment="true" applyProtection="false">
      <alignment horizontal="general" vertical="center" textRotation="0" wrapText="false" indent="0" shrinkToFit="false"/>
      <protection locked="true" hidden="false"/>
    </xf>
    <xf numFmtId="166" fontId="4" fillId="0" borderId="0" xfId="0" applyFont="true" applyBorder="false" applyAlignment="true" applyProtection="false">
      <alignment horizontal="general" vertical="center" textRotation="0" wrapText="false" indent="0" shrinkToFit="false"/>
      <protection locked="true" hidden="false"/>
    </xf>
    <xf numFmtId="167" fontId="4" fillId="0" borderId="0" xfId="0" applyFont="true" applyBorder="false" applyAlignment="true" applyProtection="false">
      <alignment horizontal="general" vertical="center" textRotation="0" wrapText="false" indent="0" shrinkToFit="false"/>
      <protection locked="true" hidden="false"/>
    </xf>
    <xf numFmtId="168" fontId="4" fillId="0" borderId="0" xfId="0" applyFont="true" applyBorder="false" applyAlignment="true" applyProtection="false">
      <alignment horizontal="general" vertical="center" textRotation="0" wrapText="false" indent="0" shrinkToFit="false"/>
      <protection locked="true" hidden="false"/>
    </xf>
    <xf numFmtId="164" fontId="10" fillId="2" borderId="0" xfId="0" applyFont="true" applyBorder="true" applyAlignment="true" applyProtection="false">
      <alignment horizontal="general" vertical="center" textRotation="0" wrapText="false" indent="0" shrinkToFit="false"/>
      <protection locked="true" hidden="false"/>
    </xf>
    <xf numFmtId="164" fontId="10" fillId="2" borderId="0"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15" fillId="3" borderId="0" xfId="0" applyFont="true" applyBorder="false" applyAlignment="true" applyProtection="false">
      <alignment horizontal="general" vertical="center" textRotation="0" wrapText="true" indent="0" shrinkToFit="false"/>
      <protection locked="true" hidden="false"/>
    </xf>
    <xf numFmtId="170" fontId="15" fillId="3" borderId="0" xfId="0" applyFont="true" applyBorder="false" applyAlignment="true" applyProtection="false">
      <alignment horizontal="general" vertical="center" textRotation="0" wrapText="true" indent="0" shrinkToFit="false"/>
      <protection locked="true" hidden="false"/>
    </xf>
    <xf numFmtId="164" fontId="15" fillId="3" borderId="0" xfId="0" applyFont="true" applyBorder="false" applyAlignment="true" applyProtection="false">
      <alignment horizontal="general" vertical="center" textRotation="0" wrapText="false" indent="0" shrinkToFit="false"/>
      <protection locked="true" hidden="false"/>
    </xf>
    <xf numFmtId="171" fontId="15" fillId="3" borderId="0" xfId="0" applyFont="true" applyBorder="false" applyAlignment="true" applyProtection="false">
      <alignment horizontal="general" vertical="center" textRotation="0" wrapText="true" indent="0" shrinkToFit="false"/>
      <protection locked="true" hidden="false"/>
    </xf>
    <xf numFmtId="170" fontId="4" fillId="0" borderId="0" xfId="0" applyFont="true" applyBorder="false" applyAlignment="true" applyProtection="false">
      <alignment horizontal="general" vertical="center" textRotation="0" wrapText="true" indent="0" shrinkToFit="false"/>
      <protection locked="true" hidden="false"/>
    </xf>
    <xf numFmtId="166" fontId="15" fillId="3" borderId="0" xfId="0" applyFont="true" applyBorder="false" applyAlignment="true" applyProtection="false">
      <alignment horizontal="general" vertical="center" textRotation="0" wrapText="true" indent="0" shrinkToFit="false"/>
      <protection locked="true" hidden="false"/>
    </xf>
    <xf numFmtId="166" fontId="15" fillId="3"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11" fillId="4" borderId="0" xfId="0" applyFont="true" applyBorder="false" applyAlignment="true" applyProtection="false">
      <alignment horizontal="general" vertical="center" textRotation="0" wrapText="true" indent="0" shrinkToFit="false"/>
      <protection locked="true" hidden="false"/>
    </xf>
    <xf numFmtId="164" fontId="4" fillId="4" borderId="0" xfId="0" applyFont="true" applyBorder="false" applyAlignment="true" applyProtection="false">
      <alignment horizontal="general" vertical="center" textRotation="0" wrapText="true" indent="0" shrinkToFit="false"/>
      <protection locked="true" hidden="false"/>
    </xf>
    <xf numFmtId="164" fontId="4" fillId="4"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5" fontId="17" fillId="0" borderId="0" xfId="0" applyFont="true" applyBorder="false" applyAlignment="true" applyProtection="false">
      <alignment horizontal="center" vertical="center" textRotation="0" wrapText="false" indent="0" shrinkToFit="false"/>
      <protection locked="true" hidden="false"/>
    </xf>
    <xf numFmtId="169" fontId="17" fillId="0" borderId="0" xfId="0" applyFont="true" applyBorder="false" applyAlignment="true" applyProtection="false">
      <alignment horizontal="center" vertical="center" textRotation="0" wrapText="false" indent="0" shrinkToFit="false"/>
      <protection locked="true" hidden="false"/>
    </xf>
    <xf numFmtId="164" fontId="17" fillId="0" borderId="0" xfId="0" applyFont="true" applyBorder="false" applyAlignment="true" applyProtection="false">
      <alignment horizontal="center" vertical="center" textRotation="0" wrapText="false" indent="0" shrinkToFit="false"/>
      <protection locked="true" hidden="false"/>
    </xf>
    <xf numFmtId="164" fontId="18" fillId="5" borderId="0" xfId="0" applyFont="true" applyBorder="false" applyAlignment="true" applyProtection="false">
      <alignment horizontal="general" vertical="center" textRotation="0" wrapText="true" indent="0" shrinkToFit="false"/>
      <protection locked="true" hidden="false"/>
    </xf>
    <xf numFmtId="164" fontId="4" fillId="5" borderId="0" xfId="0" applyFont="true" applyBorder="true" applyAlignment="true" applyProtection="false">
      <alignment horizontal="general" vertical="center" textRotation="0" wrapText="true" indent="0" shrinkToFit="false"/>
      <protection locked="true" hidden="false"/>
    </xf>
    <xf numFmtId="164" fontId="4" fillId="5" borderId="0" xfId="0" applyFont="true" applyBorder="false" applyAlignment="true" applyProtection="false">
      <alignment horizontal="general" vertical="center" textRotation="0" wrapText="true" indent="0" shrinkToFit="false"/>
      <protection locked="true" hidden="false"/>
    </xf>
    <xf numFmtId="164" fontId="18" fillId="0" borderId="0" xfId="0" applyFont="true" applyBorder="false" applyAlignment="true" applyProtection="false">
      <alignment horizontal="general" vertical="center" textRotation="0" wrapText="true" indent="0" shrinkToFit="false"/>
      <protection locked="true" hidden="false"/>
    </xf>
    <xf numFmtId="164" fontId="19"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ill>
        <patternFill>
          <bgColor rgb="FFF4C7C3"/>
        </patternFill>
      </fill>
    </dxf>
    <dxf>
      <fill>
        <patternFill>
          <bgColor rgb="FFFFE8A3"/>
        </patternFill>
      </fill>
    </dxf>
    <dxf>
      <fill>
        <patternFill>
          <bgColor rgb="FFBEDDCB"/>
        </patternFill>
      </fill>
    </dxf>
    <dxf>
      <font>
        <b val="1"/>
        <color rgb="FFA32121"/>
      </font>
      <fill>
        <patternFill>
          <bgColor rgb="FFFCE4E4"/>
        </patternFill>
      </fill>
    </dxf>
    <dxf>
      <fill>
        <patternFill patternType="solid">
          <fgColor rgb="FF20385E"/>
          <bgColor rgb="FF000000"/>
        </patternFill>
      </fill>
    </dxf>
    <dxf>
      <fill>
        <patternFill patternType="solid">
          <bgColor rgb="FF000000"/>
        </patternFill>
      </fill>
    </dxf>
    <dxf>
      <fill>
        <patternFill patternType="solid">
          <fgColor rgb="FF172B4D"/>
          <bgColor rgb="FF000000"/>
        </patternFill>
      </fill>
    </dxf>
    <dxf>
      <fill>
        <patternFill patternType="solid">
          <fgColor rgb="FFFFFFFF"/>
          <bgColor rgb="FF000000"/>
        </patternFill>
      </fill>
    </dxf>
    <dxf>
      <fill>
        <patternFill patternType="solid">
          <fgColor rgb="FFFFF2CC"/>
          <bgColor rgb="FF000000"/>
        </patternFill>
      </fill>
    </dxf>
    <dxf>
      <fill>
        <patternFill patternType="solid">
          <fgColor rgb="FF1745A0"/>
          <bgColor rgb="FF000000"/>
        </patternFill>
      </fill>
    </dxf>
    <dxf>
      <fill>
        <patternFill patternType="solid">
          <fgColor rgb="FFFCE4E4"/>
          <bgColor rgb="FF000000"/>
        </patternFill>
      </fill>
    </dxf>
    <dxf>
      <fill>
        <patternFill patternType="solid">
          <fgColor rgb="FFA32121"/>
          <bgColor rgb="FF000000"/>
        </patternFill>
      </fill>
    </dxf>
    <dxf>
      <font>
        <color rgb="FF5C6878"/>
      </font>
      <fill>
        <patternFill>
          <bgColor rgb="FFEEF2F7"/>
        </patternFill>
      </fill>
    </dxf>
    <dxf>
      <fill>
        <patternFill>
          <bgColor rgb="FFFFE0B2"/>
        </patternFill>
      </fill>
    </dxf>
    <dxf>
      <fill>
        <patternFill>
          <bgColor rgb="FFFCE4E4"/>
        </patternFill>
      </fill>
    </dxf>
    <dxf>
      <font>
        <color rgb="FFA32121"/>
      </font>
      <fill>
        <patternFill>
          <bgColor rgb="FFFCE4E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38827"/>
      <rgbColor rgb="FF800080"/>
      <rgbColor rgb="FF008080"/>
      <rgbColor rgb="FFCCCCCC"/>
      <rgbColor rgb="FF8B8B8B"/>
      <rgbColor rgb="FF9999FF"/>
      <rgbColor rgb="FF922344"/>
      <rgbColor rgb="FFFFF2CC"/>
      <rgbColor rgb="FFEEF2F7"/>
      <rgbColor rgb="FF660066"/>
      <rgbColor rgb="FFFF8080"/>
      <rgbColor rgb="FF1854A0"/>
      <rgbColor rgb="FFD9D9D9"/>
      <rgbColor rgb="FF000080"/>
      <rgbColor rgb="FFFF00FF"/>
      <rgbColor rgb="FFFFFF00"/>
      <rgbColor rgb="FF00FFFF"/>
      <rgbColor rgb="FF800080"/>
      <rgbColor rgb="FF800000"/>
      <rgbColor rgb="FF008080"/>
      <rgbColor rgb="FF0000FF"/>
      <rgbColor rgb="FF00CCFF"/>
      <rgbColor rgb="FFF2F5FA"/>
      <rgbColor rgb="FFBEDDCB"/>
      <rgbColor rgb="FFFFE8A3"/>
      <rgbColor rgb="FFFCE4E4"/>
      <rgbColor rgb="FFFFE0B2"/>
      <rgbColor rgb="FFCC99FF"/>
      <rgbColor rgb="FFF4C7C3"/>
      <rgbColor rgb="FF3366FF"/>
      <rgbColor rgb="FF33CCCC"/>
      <rgbColor rgb="FF99CC00"/>
      <rgbColor rgb="FFFFCC00"/>
      <rgbColor rgb="FFFF9900"/>
      <rgbColor rgb="FFFF6600"/>
      <rgbColor rgb="FF5C6878"/>
      <rgbColor rgb="FF969696"/>
      <rgbColor rgb="FF172B4D"/>
      <rgbColor rgb="FF339966"/>
      <rgbColor rgb="FF003300"/>
      <rgbColor rgb="FF333300"/>
      <rgbColor rgb="FFA32121"/>
      <rgbColor rgb="FF993366"/>
      <rgbColor rgb="FF1745A0"/>
      <rgbColor rgb="FF20385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50" spc="-1" strike="noStrike">
                <a:solidFill>
                  <a:srgbClr val="000000"/>
                </a:solidFill>
                <a:latin typeface="Arial"/>
                <a:ea typeface="Arial"/>
              </a:defRPr>
            </a:pPr>
            <a:r>
              <a:rPr b="1" sz="1050" spc="-1" strike="noStrike">
                <a:solidFill>
                  <a:srgbClr val="000000"/>
                </a:solidFill>
                <a:latin typeface="Arial"/>
                <a:ea typeface="Arial"/>
              </a:rPr>
              <a:t>Maturité par thème /100</a:t>
            </a:r>
          </a:p>
        </c:rich>
      </c:tx>
      <c:overlay val="0"/>
      <c:spPr>
        <a:noFill/>
        <a:ln w="0">
          <a:noFill/>
        </a:ln>
      </c:spPr>
    </c:title>
    <c:autoTitleDeleted val="0"/>
    <c:plotArea>
      <c:barChart>
        <c:barDir val="col"/>
        <c:grouping val="clustered"/>
        <c:varyColors val="0"/>
        <c:ser>
          <c:idx val="0"/>
          <c:order val="0"/>
          <c:tx>
            <c:strRef>
              <c:f>"Score /100"</c:f>
              <c:strCache>
                <c:ptCount val="1"/>
                <c:pt idx="0">
                  <c:v>Score /100</c:v>
                </c:pt>
              </c:strCache>
            </c:strRef>
          </c:tx>
          <c:spPr>
            <a:solidFill>
              <a:srgbClr val="20385e"/>
            </a:solidFill>
            <a:ln w="0">
              <a:noFill/>
            </a:ln>
          </c:spPr>
          <c:invertIfNegative val="0"/>
          <c:dLbls>
            <c:txPr>
              <a:bodyPr wrap="square"/>
              <a:lstStyle/>
              <a:p>
                <a:pPr>
                  <a:defRPr b="0" sz="1000" spc="-1" strike="noStrike">
                    <a:solidFill>
                      <a:srgbClr val="000000"/>
                    </a:solidFill>
                    <a:latin typeface="Arial"/>
                    <a:ea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Résultat!$B$46:$B$51</c:f>
              <c:strCache>
                <c:ptCount val="6"/>
                <c:pt idx="0">
                  <c:v>Gouvernance</c:v>
                </c:pt>
                <c:pt idx="1">
                  <c:v>Accès</c:v>
                </c:pt>
                <c:pt idx="2">
                  <c:v>Postes</c:v>
                </c:pt>
                <c:pt idx="3">
                  <c:v>Infrastructure</c:v>
                </c:pt>
                <c:pt idx="4">
                  <c:v>Humain</c:v>
                </c:pt>
                <c:pt idx="5">
                  <c:v>Réaction</c:v>
                </c:pt>
              </c:strCache>
            </c:strRef>
          </c:cat>
          <c:val>
            <c:numRef>
              <c:f>Résultat!$C$46:$C$51</c:f>
              <c:numCache>
                <c:formatCode>General</c:formatCode>
                <c:ptCount val="6"/>
              </c:numCache>
            </c:numRef>
          </c:val>
        </c:ser>
        <c:gapWidth val="150"/>
        <c:overlap val="0"/>
        <c:axId val="62856198"/>
        <c:axId val="27480905"/>
      </c:barChart>
      <c:catAx>
        <c:axId val="62856198"/>
        <c:scaling>
          <c:orientation val="minMax"/>
        </c:scaling>
        <c:delete val="0"/>
        <c:axPos val="b"/>
        <c:majorGridlines>
          <c:spPr>
            <a:ln w="9360">
              <a:solidFill>
                <a:srgbClr val="cccccc"/>
              </a:solidFill>
              <a:prstDash val="dash"/>
              <a:round/>
            </a:ln>
          </c:spPr>
        </c:majorGridlines>
        <c:numFmt formatCode="General" sourceLinked="0"/>
        <c:majorTickMark val="none"/>
        <c:minorTickMark val="none"/>
        <c:tickLblPos val="nextTo"/>
        <c:spPr>
          <a:ln w="12600">
            <a:solidFill>
              <a:srgbClr val="8b8b8b"/>
            </a:solidFill>
            <a:round/>
          </a:ln>
        </c:spPr>
        <c:txPr>
          <a:bodyPr/>
          <a:lstStyle/>
          <a:p>
            <a:pPr>
              <a:defRPr b="0" sz="825" spc="-1" strike="noStrike">
                <a:solidFill>
                  <a:srgbClr val="000000"/>
                </a:solidFill>
                <a:latin typeface="Arial"/>
                <a:ea typeface="Arial"/>
              </a:defRPr>
            </a:pPr>
          </a:p>
        </c:txPr>
        <c:crossAx val="27480905"/>
        <c:crosses val="autoZero"/>
        <c:auto val="1"/>
        <c:lblAlgn val="ctr"/>
        <c:lblOffset val="100"/>
        <c:noMultiLvlLbl val="0"/>
      </c:catAx>
      <c:valAx>
        <c:axId val="27480905"/>
        <c:scaling>
          <c:orientation val="minMax"/>
        </c:scaling>
        <c:delete val="0"/>
        <c:axPos val="l"/>
        <c:majorGridlines>
          <c:spPr>
            <a:ln w="9360">
              <a:solidFill>
                <a:srgbClr val="cccccc"/>
              </a:solidFill>
              <a:prstDash val="dash"/>
              <a:round/>
            </a:ln>
          </c:spPr>
        </c:majorGridlines>
        <c:numFmt formatCode="0" sourceLinked="0"/>
        <c:majorTickMark val="none"/>
        <c:minorTickMark val="none"/>
        <c:tickLblPos val="nextTo"/>
        <c:spPr>
          <a:ln w="12600">
            <a:solidFill>
              <a:srgbClr val="8b8b8b"/>
            </a:solidFill>
            <a:round/>
          </a:ln>
        </c:spPr>
        <c:txPr>
          <a:bodyPr/>
          <a:lstStyle/>
          <a:p>
            <a:pPr>
              <a:defRPr b="0" sz="825" spc="-1" strike="noStrike">
                <a:solidFill>
                  <a:srgbClr val="000000"/>
                </a:solidFill>
                <a:latin typeface="Arial"/>
                <a:ea typeface="Arial"/>
              </a:defRPr>
            </a:pPr>
          </a:p>
        </c:txPr>
        <c:crossAx val="6285619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43</xdr:row>
      <xdr:rowOff>284400</xdr:rowOff>
    </xdr:from>
    <xdr:to>
      <xdr:col>11</xdr:col>
      <xdr:colOff>1478880</xdr:colOff>
      <xdr:row>57</xdr:row>
      <xdr:rowOff>321120</xdr:rowOff>
    </xdr:to>
    <xdr:graphicFrame>
      <xdr:nvGraphicFramePr>
        <xdr:cNvPr id="0" name="Chart 1"/>
        <xdr:cNvGraphicFramePr/>
      </xdr:nvGraphicFramePr>
      <xdr:xfrm>
        <a:off x="5497920" y="15791040"/>
        <a:ext cx="8033760" cy="49708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ActionsCyber" displayName="ActionsCyber" ref="A7:N119" headerRowCount="1" totalsRowCount="0" totalsRowShown="0">
  <autoFilter ref="A7:N119"/>
  <tableColumns count="14">
    <tableColumn id="1" name="Identifiant"/>
    <tableColumn id="2" name="Domaine"/>
    <tableColumn id="3" name="Priorité"/>
    <tableColumn id="4" name="Prochaine action proposée"/>
    <tableColumn id="5" name="Effort indicatif"/>
    <tableColumn id="6" name="Responsable"/>
    <tableColumn id="7" name="Échéance décidée"/>
    <tableColumn id="8" name="Statut saisi"/>
    <tableColumn id="9" name="Preuve / compte rendu"/>
    <tableColumn id="10" name="Date de validation"/>
    <tableColumn id="11" name="Budget prévu HT €"/>
    <tableColumn id="12" name="Suivi calculé"/>
    <tableColumn id="13" name="Rang"/>
    <tableColumn id="14" name="Échéance proposée"/>
  </tableColumns>
</table>
</file>

<file path=xl/tables/table2.xml><?xml version="1.0" encoding="utf-8"?>
<table xmlns="http://schemas.openxmlformats.org/spreadsheetml/2006/main" id="2" name="ControlesCyber" displayName="ControlesCyber" ref="A7:X119" headerRowCount="1" totalsRowCount="0" totalsRowShown="0">
  <autoFilter ref="A7:X119"/>
  <tableColumns count="24">
    <tableColumn id="1" name="Identifiant"/>
    <tableColumn id="2" name="Domaine"/>
    <tableColumn id="3" name="Question à poser"/>
    <tableColumn id="4" name="Élément concret à vérifier"/>
    <tableColumn id="5" name="Votre réponse"/>
    <tableColumn id="6" name="Preuve / constat / date"/>
    <tableColumn id="7" name="Exception"/>
    <tableColumn id="8" name="Justification de l’exception"/>
    <tableColumn id="9" name="Retenu au calcul"/>
    <tableColumn id="10" name="Coefficient"/>
    <tableColumn id="11" name="Poids"/>
    <tableColumn id="12" name="Critique (1)"/>
    <tableColumn id="13" name="Essentiel (1)"/>
    <tableColumn id="14" name="Usage"/>
    <tableColumn id="15" name="Points acquis"/>
    <tableColumn id="16" name="Poids retenu"/>
    <tableColumn id="17" name="Écart pondéré"/>
    <tableColumn id="18" name="Priorité"/>
    <tableColumn id="19" name="Rang"/>
    <tableColumn id="20" name="Réponse valide"/>
    <tableColumn id="21" name="Alerte critique"/>
    <tableColumn id="22" name="Inconnu"/>
    <tableColumn id="23" name="Renseigné"/>
    <tableColumn id="24" name="Cadrage / saisie"/>
  </tableColumns>
</table>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table" Target="../tables/table2.xml"/>
</Relationships>
</file>

<file path=xl/worksheets/_rels/sheet4.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0385E"/>
    <pageSetUpPr fitToPage="false"/>
  </sheetPr>
  <dimension ref="A1:L7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2"/>
    <col collapsed="false" customWidth="true" hidden="false" outlineLevel="0" max="6" min="3" style="1" width="14"/>
    <col collapsed="false" customWidth="true" hidden="false" outlineLevel="0" max="7" min="7" style="1" width="17"/>
    <col collapsed="false" customWidth="true" hidden="false" outlineLevel="0" max="8" min="8" style="1" width="16"/>
    <col collapsed="false" customWidth="true" hidden="false" outlineLevel="0" max="9" min="9" style="1" width="4"/>
    <col collapsed="false" customWidth="true" hidden="false" outlineLevel="0" max="12" min="10" style="1" width="21"/>
  </cols>
  <sheetData>
    <row r="1" customFormat="false" ht="15" hidden="false" customHeight="true" outlineLevel="0" collapsed="false">
      <c r="A1" s="2"/>
      <c r="B1" s="2"/>
      <c r="C1" s="2"/>
      <c r="D1" s="2"/>
      <c r="E1" s="2"/>
      <c r="F1" s="2"/>
      <c r="G1" s="2"/>
      <c r="H1" s="2"/>
      <c r="I1" s="2"/>
      <c r="J1" s="2"/>
      <c r="K1" s="2"/>
      <c r="L1" s="2"/>
    </row>
    <row r="2" customFormat="false" ht="30" hidden="false" customHeight="true" outlineLevel="0" collapsed="false">
      <c r="A2" s="2"/>
      <c r="B2" s="3" t="s">
        <v>0</v>
      </c>
      <c r="C2" s="3"/>
      <c r="D2" s="3"/>
      <c r="E2" s="3"/>
      <c r="F2" s="3"/>
      <c r="G2" s="3"/>
      <c r="H2" s="3"/>
      <c r="I2" s="3"/>
      <c r="J2" s="3"/>
      <c r="K2" s="3"/>
      <c r="L2" s="3"/>
    </row>
    <row r="3" customFormat="false" ht="27.75" hidden="false" customHeight="true" outlineLevel="0" collapsed="false">
      <c r="A3" s="2"/>
      <c r="B3" s="4" t="s">
        <v>1</v>
      </c>
      <c r="C3" s="4"/>
      <c r="D3" s="4"/>
      <c r="E3" s="4"/>
      <c r="F3" s="4"/>
      <c r="G3" s="4"/>
      <c r="H3" s="4"/>
      <c r="I3" s="4"/>
      <c r="J3" s="4"/>
      <c r="K3" s="4"/>
      <c r="L3" s="4"/>
    </row>
    <row r="4" customFormat="false" ht="15" hidden="false" customHeight="true" outlineLevel="0" collapsed="false">
      <c r="A4" s="2"/>
      <c r="B4" s="2"/>
      <c r="C4" s="2"/>
      <c r="D4" s="2"/>
      <c r="E4" s="2"/>
      <c r="F4" s="2"/>
      <c r="G4" s="2"/>
      <c r="H4" s="2"/>
      <c r="I4" s="2"/>
      <c r="J4" s="2"/>
      <c r="K4" s="2"/>
      <c r="L4" s="2"/>
    </row>
    <row r="5" customFormat="false" ht="15" hidden="false" customHeight="true" outlineLevel="0" collapsed="false">
      <c r="A5" s="2"/>
      <c r="B5" s="5" t="str">
        <f aca="false">IF(Entreprise!C5="","Entreprise à renseigner",Entreprise!C5)</f>
        <v>Entreprise à renseigner</v>
      </c>
      <c r="C5" s="5"/>
      <c r="D5" s="5"/>
      <c r="E5" s="5"/>
      <c r="F5" s="2"/>
      <c r="G5" s="5" t="str">
        <f aca="false">"Parcours : "&amp;Entreprise!C13</f>
        <v>Parcours : Complet</v>
      </c>
      <c r="H5" s="5"/>
      <c r="I5" s="2"/>
      <c r="J5" s="5" t="str">
        <f aca="false">IF(Entreprise!C11="","Date à renseigner",TEXT(Entreprise!C11,"dd/mm/yyyy"))</f>
        <v>Date à renseigner</v>
      </c>
      <c r="K5" s="5"/>
      <c r="L5" s="5"/>
    </row>
    <row r="6" customFormat="false" ht="15" hidden="false" customHeight="true" outlineLevel="0" collapsed="false">
      <c r="A6" s="2"/>
      <c r="B6" s="2"/>
      <c r="C6" s="2"/>
      <c r="D6" s="2"/>
      <c r="E6" s="2"/>
      <c r="F6" s="2"/>
      <c r="G6" s="2"/>
      <c r="H6" s="2"/>
      <c r="I6" s="2"/>
      <c r="J6" s="2"/>
      <c r="K6" s="2"/>
      <c r="L6" s="2"/>
    </row>
    <row r="7" customFormat="false" ht="15" hidden="false" customHeight="true" outlineLevel="0" collapsed="false">
      <c r="A7" s="2"/>
      <c r="B7" s="5" t="s">
        <v>2</v>
      </c>
      <c r="C7" s="5"/>
      <c r="D7" s="5"/>
      <c r="E7" s="2" t="s">
        <v>3</v>
      </c>
      <c r="F7" s="2"/>
      <c r="G7" s="2" t="s">
        <v>4</v>
      </c>
      <c r="H7" s="2"/>
      <c r="I7" s="2"/>
      <c r="J7" s="5" t="s">
        <v>5</v>
      </c>
      <c r="K7" s="5"/>
      <c r="L7" s="5"/>
    </row>
    <row r="8" customFormat="false" ht="34.5" hidden="false" customHeight="true" outlineLevel="0" collapsed="false">
      <c r="A8" s="2"/>
      <c r="B8" s="2"/>
      <c r="C8" s="6" t="str">
        <f aca="false">IF(OR(SUM(Questionnaire!$W$8:$W$119)=0,SUM(Questionnaire!$P$8:$P$119)=0),"",100*SUM(Questionnaire!$O$8:$O$119)/SUM(Questionnaire!$P$8:$P$119))</f>
        <v/>
      </c>
      <c r="D8" s="2"/>
      <c r="E8" s="7" t="n">
        <f aca="false">IF(COUNTIFS(Questionnaire!$I$8:$I$119,"Oui")=0,"",SUM(Questionnaire!$W$8:$W$119)/COUNTIFS(Questionnaire!$I$8:$I$119,"Oui"))</f>
        <v>0</v>
      </c>
      <c r="F8" s="8"/>
      <c r="G8" s="8" t="n">
        <f aca="false">SUM(Questionnaire!$V$8:$V$119)</f>
        <v>0</v>
      </c>
      <c r="H8" s="8"/>
      <c r="I8" s="8"/>
      <c r="J8" s="8" t="n">
        <f aca="false">SUM(Questionnaire!$U$8:$U$119)</f>
        <v>17</v>
      </c>
      <c r="K8" s="8"/>
      <c r="L8" s="8"/>
    </row>
    <row r="9" customFormat="false" ht="15" hidden="false" customHeight="true" outlineLevel="0" collapsed="false">
      <c r="A9" s="2"/>
      <c r="B9" s="2"/>
      <c r="C9" s="2"/>
      <c r="D9" s="2"/>
      <c r="E9" s="2"/>
      <c r="F9" s="2"/>
      <c r="G9" s="2"/>
      <c r="H9" s="2"/>
      <c r="I9" s="2"/>
      <c r="J9" s="2"/>
      <c r="K9" s="2"/>
      <c r="L9" s="2"/>
    </row>
    <row r="10" customFormat="false" ht="17.25" hidden="false" customHeight="true" outlineLevel="0" collapsed="false">
      <c r="A10" s="2"/>
      <c r="B10" s="9" t="str">
        <f aca="false">IF(C8="","Évaluation à démarrer",VLOOKUP(C8,Barèmes!$B$16:$C$20,2,TRUE())&amp;IF(J8&gt;0," · alertes critiques",""))</f>
        <v>Évaluation à démarrer</v>
      </c>
      <c r="C10" s="9"/>
      <c r="D10" s="9"/>
      <c r="E10" s="9"/>
      <c r="F10" s="9"/>
      <c r="G10" s="9"/>
      <c r="H10" s="9"/>
      <c r="I10" s="2"/>
      <c r="J10" s="5" t="s">
        <v>6</v>
      </c>
      <c r="K10" s="5"/>
      <c r="L10" s="2" t="n">
        <f aca="false">COUNTIFS(Questionnaire!$U$8:$U$119,1,Questionnaire!$T$8:$T$119,1,Questionnaire!$V$8:$V$119,0)</f>
        <v>0</v>
      </c>
    </row>
    <row r="11" customFormat="false" ht="31.5" hidden="false" customHeight="true" outlineLevel="0" collapsed="false">
      <c r="A11" s="2"/>
      <c r="B11" s="10" t="str">
        <f aca="false">IF(COUNTIFS(Questionnaire!$I$8:$I$119,"Oui")=0,"Aucun contrôle retenu. Revoir le périmètre.",IF(SUM(Questionnaire!$W$8:$W$119)=0,"Répondez au questionnaire pour afficher le score.",IF(OR(E8&lt;1,G8&gt;0,H13&gt;0),"Résultat provisoire : compléter réponses, inconnus, cadrage et preuves.","Évaluation renseignée. Examiner les lacunes et valider le plan d’action.")))</f>
        <v>Répondez au questionnaire pour afficher le score.</v>
      </c>
      <c r="C11" s="10"/>
      <c r="D11" s="10"/>
      <c r="E11" s="10"/>
      <c r="F11" s="10"/>
      <c r="G11" s="10"/>
      <c r="H11" s="10"/>
      <c r="I11" s="10"/>
      <c r="J11" s="10"/>
      <c r="K11" s="10"/>
      <c r="L11" s="10"/>
    </row>
    <row r="12" customFormat="false" ht="15" hidden="false" customHeight="true" outlineLevel="0" collapsed="false">
      <c r="A12" s="2"/>
      <c r="B12" s="2"/>
      <c r="C12" s="2"/>
      <c r="D12" s="2"/>
      <c r="E12" s="2"/>
      <c r="F12" s="2"/>
      <c r="G12" s="2"/>
      <c r="H12" s="2"/>
      <c r="I12" s="2"/>
      <c r="J12" s="5" t="s">
        <v>7</v>
      </c>
      <c r="K12" s="5"/>
      <c r="L12" s="2" t="n">
        <f aca="false">J8-L10</f>
        <v>17</v>
      </c>
    </row>
    <row r="13" customFormat="false" ht="15" hidden="false" customHeight="true" outlineLevel="0" collapsed="false">
      <c r="A13" s="2"/>
      <c r="B13" s="2" t="s">
        <v>8</v>
      </c>
      <c r="C13" s="2" t="n">
        <f aca="false">COUNTIFS(Questionnaire!$I$8:$I$119,"Oui")</f>
        <v>112</v>
      </c>
      <c r="D13" s="2" t="s">
        <v>9</v>
      </c>
      <c r="E13" s="2" t="n">
        <f aca="false">COUNTIFS(Questionnaire!$I$8:$I$119,"Non")</f>
        <v>0</v>
      </c>
      <c r="F13" s="2"/>
      <c r="G13" s="2" t="s">
        <v>10</v>
      </c>
      <c r="H13" s="2" t="n">
        <f aca="false">COUNTIFS(Questionnaire!$X$8:$X$119,"Confirmer l’usage")+COUNTIFS(Questionnaire!$X$8:$X$119,"Preuve à référencer")+COUNTIFS(Questionnaire!$X$8:$X$119,"Justifier l’exclusion")+COUNTIFS(Questionnaire!$X$8:$X$119,"Réponse invalide")</f>
        <v>45</v>
      </c>
      <c r="I13" s="2"/>
      <c r="J13" s="2"/>
      <c r="K13" s="2"/>
      <c r="L13" s="2"/>
    </row>
    <row r="14" customFormat="false" ht="15" hidden="false" customHeight="true" outlineLevel="0" collapsed="false">
      <c r="A14" s="2"/>
      <c r="B14" s="2"/>
      <c r="C14" s="2"/>
      <c r="D14" s="2"/>
      <c r="E14" s="2"/>
      <c r="F14" s="2"/>
      <c r="G14" s="2"/>
      <c r="H14" s="2"/>
      <c r="I14" s="2"/>
      <c r="J14" s="2"/>
      <c r="K14" s="2"/>
      <c r="L14" s="2"/>
    </row>
    <row r="15" customFormat="false" ht="30" hidden="false" customHeight="true" outlineLevel="0" collapsed="false">
      <c r="A15" s="2"/>
      <c r="B15" s="11" t="s">
        <v>11</v>
      </c>
      <c r="C15" s="11" t="s">
        <v>12</v>
      </c>
      <c r="D15" s="11" t="s">
        <v>3</v>
      </c>
      <c r="E15" s="11" t="s">
        <v>13</v>
      </c>
      <c r="F15" s="11" t="s">
        <v>14</v>
      </c>
      <c r="G15" s="11" t="s">
        <v>15</v>
      </c>
      <c r="H15" s="11" t="s">
        <v>16</v>
      </c>
      <c r="I15" s="2"/>
      <c r="J15" s="4" t="s">
        <v>17</v>
      </c>
      <c r="K15" s="4"/>
      <c r="L15" s="4"/>
    </row>
    <row r="16" customFormat="false" ht="30" hidden="false" customHeight="true" outlineLevel="0" collapsed="false">
      <c r="A16" s="2"/>
      <c r="B16" s="12" t="s">
        <v>18</v>
      </c>
      <c r="C16" s="13" t="str">
        <f aca="false">IF(OR(G16=0,SUMIFS(Questionnaire!$W$8:$W$119,Questionnaire!$B$8:$B$119,B16)=0),"",100*SUMIFS(Questionnaire!$O$8:$O$119,Questionnaire!$B$8:$B$119,B16)/G16)</f>
        <v/>
      </c>
      <c r="D16" s="14" t="n">
        <f aca="false">IF(G16=0,"",SUMIFS(Questionnaire!$W$8:$W$119,Questionnaire!$B$8:$B$119,B16)/COUNTIFS(Questionnaire!$B$8:$B$119,B16,Questionnaire!$I$8:$I$119,"Oui"))</f>
        <v>0</v>
      </c>
      <c r="E16" s="15" t="n">
        <f aca="false">SUMIFS(Questionnaire!$U$8:$U$119,Questionnaire!$B$8:$B$119,B16)</f>
        <v>0</v>
      </c>
      <c r="F16" s="2" t="n">
        <f aca="false">SUMIFS(Questionnaire!$W$8:$W$119,Questionnaire!$B$8:$B$119,B16)-SUMIFS(Questionnaire!$V$8:$V$119,Questionnaire!$B$8:$B$119,B16)</f>
        <v>0</v>
      </c>
      <c r="G16" s="2" t="n">
        <f aca="false">SUMIFS(Questionnaire!$P$8:$P$119,Questionnaire!$B$8:$B$119,B16)</f>
        <v>16</v>
      </c>
      <c r="H16" s="16" t="n">
        <f aca="false">SUMIFS(Questionnaire!$Q$8:$Q$119,Questionnaire!$B$8:$B$119,B16)</f>
        <v>16</v>
      </c>
      <c r="I16" s="2"/>
      <c r="J16" s="4"/>
      <c r="K16" s="4"/>
      <c r="L16" s="4"/>
    </row>
    <row r="17" customFormat="false" ht="30" hidden="false" customHeight="true" outlineLevel="0" collapsed="false">
      <c r="A17" s="2"/>
      <c r="B17" s="12" t="s">
        <v>19</v>
      </c>
      <c r="C17" s="13" t="str">
        <f aca="false">IF(OR(G17=0,SUMIFS(Questionnaire!$W$8:$W$119,Questionnaire!$B$8:$B$119,B17)=0),"",100*SUMIFS(Questionnaire!$O$8:$O$119,Questionnaire!$B$8:$B$119,B17)/G17)</f>
        <v/>
      </c>
      <c r="D17" s="14" t="n">
        <f aca="false">IF(G17=0,"",SUMIFS(Questionnaire!$W$8:$W$119,Questionnaire!$B$8:$B$119,B17)/COUNTIFS(Questionnaire!$B$8:$B$119,B17,Questionnaire!$I$8:$I$119,"Oui"))</f>
        <v>0</v>
      </c>
      <c r="E17" s="15" t="n">
        <f aca="false">SUMIFS(Questionnaire!$U$8:$U$119,Questionnaire!$B$8:$B$119,B17)</f>
        <v>0</v>
      </c>
      <c r="F17" s="2" t="n">
        <f aca="false">SUMIFS(Questionnaire!$W$8:$W$119,Questionnaire!$B$8:$B$119,B17)-SUMIFS(Questionnaire!$V$8:$V$119,Questionnaire!$B$8:$B$119,B17)</f>
        <v>0</v>
      </c>
      <c r="G17" s="2" t="n">
        <f aca="false">SUMIFS(Questionnaire!$P$8:$P$119,Questionnaire!$B$8:$B$119,B17)</f>
        <v>17</v>
      </c>
      <c r="H17" s="16" t="n">
        <f aca="false">SUMIFS(Questionnaire!$Q$8:$Q$119,Questionnaire!$B$8:$B$119,B17)</f>
        <v>17</v>
      </c>
      <c r="I17" s="2"/>
      <c r="J17" s="4"/>
      <c r="K17" s="4"/>
      <c r="L17" s="4"/>
    </row>
    <row r="18" customFormat="false" ht="30" hidden="false" customHeight="true" outlineLevel="0" collapsed="false">
      <c r="A18" s="2"/>
      <c r="B18" s="12" t="s">
        <v>20</v>
      </c>
      <c r="C18" s="13" t="str">
        <f aca="false">IF(OR(G18=0,SUMIFS(Questionnaire!$W$8:$W$119,Questionnaire!$B$8:$B$119,B18)=0),"",100*SUMIFS(Questionnaire!$O$8:$O$119,Questionnaire!$B$8:$B$119,B18)/G18)</f>
        <v/>
      </c>
      <c r="D18" s="14" t="n">
        <f aca="false">IF(G18=0,"",SUMIFS(Questionnaire!$W$8:$W$119,Questionnaire!$B$8:$B$119,B18)/COUNTIFS(Questionnaire!$B$8:$B$119,B18,Questionnaire!$I$8:$I$119,"Oui"))</f>
        <v>0</v>
      </c>
      <c r="E18" s="15" t="n">
        <f aca="false">SUMIFS(Questionnaire!$U$8:$U$119,Questionnaire!$B$8:$B$119,B18)</f>
        <v>3</v>
      </c>
      <c r="F18" s="2" t="n">
        <f aca="false">SUMIFS(Questionnaire!$W$8:$W$119,Questionnaire!$B$8:$B$119,B18)-SUMIFS(Questionnaire!$V$8:$V$119,Questionnaire!$B$8:$B$119,B18)</f>
        <v>0</v>
      </c>
      <c r="G18" s="2" t="n">
        <f aca="false">SUMIFS(Questionnaire!$P$8:$P$119,Questionnaire!$B$8:$B$119,B18)</f>
        <v>20</v>
      </c>
      <c r="H18" s="16" t="n">
        <f aca="false">SUMIFS(Questionnaire!$Q$8:$Q$119,Questionnaire!$B$8:$B$119,B18)</f>
        <v>20</v>
      </c>
      <c r="I18" s="2"/>
      <c r="J18" s="4"/>
      <c r="K18" s="4"/>
      <c r="L18" s="4"/>
    </row>
    <row r="19" customFormat="false" ht="30" hidden="false" customHeight="true" outlineLevel="0" collapsed="false">
      <c r="A19" s="2"/>
      <c r="B19" s="12" t="s">
        <v>21</v>
      </c>
      <c r="C19" s="13" t="str">
        <f aca="false">IF(OR(G19=0,SUMIFS(Questionnaire!$W$8:$W$119,Questionnaire!$B$8:$B$119,B19)=0),"",100*SUMIFS(Questionnaire!$O$8:$O$119,Questionnaire!$B$8:$B$119,B19)/G19)</f>
        <v/>
      </c>
      <c r="D19" s="14" t="n">
        <f aca="false">IF(G19=0,"",SUMIFS(Questionnaire!$W$8:$W$119,Questionnaire!$B$8:$B$119,B19)/COUNTIFS(Questionnaire!$B$8:$B$119,B19,Questionnaire!$I$8:$I$119,"Oui"))</f>
        <v>0</v>
      </c>
      <c r="E19" s="15" t="n">
        <f aca="false">SUMIFS(Questionnaire!$U$8:$U$119,Questionnaire!$B$8:$B$119,B19)</f>
        <v>2</v>
      </c>
      <c r="F19" s="2" t="n">
        <f aca="false">SUMIFS(Questionnaire!$W$8:$W$119,Questionnaire!$B$8:$B$119,B19)-SUMIFS(Questionnaire!$V$8:$V$119,Questionnaire!$B$8:$B$119,B19)</f>
        <v>0</v>
      </c>
      <c r="G19" s="2" t="n">
        <f aca="false">SUMIFS(Questionnaire!$P$8:$P$119,Questionnaire!$B$8:$B$119,B19)</f>
        <v>20</v>
      </c>
      <c r="H19" s="16" t="n">
        <f aca="false">SUMIFS(Questionnaire!$Q$8:$Q$119,Questionnaire!$B$8:$B$119,B19)</f>
        <v>20</v>
      </c>
      <c r="I19" s="2"/>
      <c r="J19" s="4"/>
      <c r="K19" s="4"/>
      <c r="L19" s="4"/>
    </row>
    <row r="20" customFormat="false" ht="33.75" hidden="false" customHeight="true" outlineLevel="0" collapsed="false">
      <c r="A20" s="2"/>
      <c r="B20" s="12" t="s">
        <v>22</v>
      </c>
      <c r="C20" s="13" t="str">
        <f aca="false">IF(OR(G20=0,SUMIFS(Questionnaire!$W$8:$W$119,Questionnaire!$B$8:$B$119,B20)=0),"",100*SUMIFS(Questionnaire!$O$8:$O$119,Questionnaire!$B$8:$B$119,B20)/G20)</f>
        <v/>
      </c>
      <c r="D20" s="14" t="n">
        <f aca="false">IF(G20=0,"",SUMIFS(Questionnaire!$W$8:$W$119,Questionnaire!$B$8:$B$119,B20)/COUNTIFS(Questionnaire!$B$8:$B$119,B20,Questionnaire!$I$8:$I$119,"Oui"))</f>
        <v>0</v>
      </c>
      <c r="E20" s="15" t="n">
        <f aca="false">SUMIFS(Questionnaire!$U$8:$U$119,Questionnaire!$B$8:$B$119,B20)</f>
        <v>3</v>
      </c>
      <c r="F20" s="2" t="n">
        <f aca="false">SUMIFS(Questionnaire!$W$8:$W$119,Questionnaire!$B$8:$B$119,B20)-SUMIFS(Questionnaire!$V$8:$V$119,Questionnaire!$B$8:$B$119,B20)</f>
        <v>0</v>
      </c>
      <c r="G20" s="2" t="n">
        <f aca="false">SUMIFS(Questionnaire!$P$8:$P$119,Questionnaire!$B$8:$B$119,B20)</f>
        <v>19</v>
      </c>
      <c r="H20" s="16" t="n">
        <f aca="false">SUMIFS(Questionnaire!$Q$8:$Q$119,Questionnaire!$B$8:$B$119,B20)</f>
        <v>19</v>
      </c>
      <c r="I20" s="2"/>
      <c r="J20" s="2"/>
      <c r="K20" s="2"/>
      <c r="L20" s="2"/>
    </row>
    <row r="21" customFormat="false" ht="30" hidden="false" customHeight="true" outlineLevel="0" collapsed="false">
      <c r="A21" s="2"/>
      <c r="B21" s="12" t="s">
        <v>23</v>
      </c>
      <c r="C21" s="13" t="str">
        <f aca="false">IF(OR(G21=0,SUMIFS(Questionnaire!$W$8:$W$119,Questionnaire!$B$8:$B$119,B21)=0),"",100*SUMIFS(Questionnaire!$O$8:$O$119,Questionnaire!$B$8:$B$119,B21)/G21)</f>
        <v/>
      </c>
      <c r="D21" s="14" t="n">
        <f aca="false">IF(G21=0,"",SUMIFS(Questionnaire!$W$8:$W$119,Questionnaire!$B$8:$B$119,B21)/COUNTIFS(Questionnaire!$B$8:$B$119,B21,Questionnaire!$I$8:$I$119,"Oui"))</f>
        <v>0</v>
      </c>
      <c r="E21" s="15" t="n">
        <f aca="false">SUMIFS(Questionnaire!$U$8:$U$119,Questionnaire!$B$8:$B$119,B21)</f>
        <v>2</v>
      </c>
      <c r="F21" s="2" t="n">
        <f aca="false">SUMIFS(Questionnaire!$W$8:$W$119,Questionnaire!$B$8:$B$119,B21)-SUMIFS(Questionnaire!$V$8:$V$119,Questionnaire!$B$8:$B$119,B21)</f>
        <v>0</v>
      </c>
      <c r="G21" s="2" t="n">
        <f aca="false">SUMIFS(Questionnaire!$P$8:$P$119,Questionnaire!$B$8:$B$119,B21)</f>
        <v>17</v>
      </c>
      <c r="H21" s="16" t="n">
        <f aca="false">SUMIFS(Questionnaire!$Q$8:$Q$119,Questionnaire!$B$8:$B$119,B21)</f>
        <v>17</v>
      </c>
      <c r="I21" s="2"/>
      <c r="J21" s="4" t="s">
        <v>24</v>
      </c>
      <c r="K21" s="4"/>
      <c r="L21" s="4"/>
    </row>
    <row r="22" customFormat="false" ht="30" hidden="false" customHeight="true" outlineLevel="0" collapsed="false">
      <c r="A22" s="2"/>
      <c r="B22" s="12" t="s">
        <v>25</v>
      </c>
      <c r="C22" s="13" t="str">
        <f aca="false">IF(OR(G22=0,SUMIFS(Questionnaire!$W$8:$W$119,Questionnaire!$B$8:$B$119,B22)=0),"",100*SUMIFS(Questionnaire!$O$8:$O$119,Questionnaire!$B$8:$B$119,B22)/G22)</f>
        <v/>
      </c>
      <c r="D22" s="14" t="n">
        <f aca="false">IF(G22=0,"",SUMIFS(Questionnaire!$W$8:$W$119,Questionnaire!$B$8:$B$119,B22)/COUNTIFS(Questionnaire!$B$8:$B$119,B22,Questionnaire!$I$8:$I$119,"Oui"))</f>
        <v>0</v>
      </c>
      <c r="E22" s="15" t="n">
        <f aca="false">SUMIFS(Questionnaire!$U$8:$U$119,Questionnaire!$B$8:$B$119,B22)</f>
        <v>1</v>
      </c>
      <c r="F22" s="2" t="n">
        <f aca="false">SUMIFS(Questionnaire!$W$8:$W$119,Questionnaire!$B$8:$B$119,B22)-SUMIFS(Questionnaire!$V$8:$V$119,Questionnaire!$B$8:$B$119,B22)</f>
        <v>0</v>
      </c>
      <c r="G22" s="2" t="n">
        <f aca="false">SUMIFS(Questionnaire!$P$8:$P$119,Questionnaire!$B$8:$B$119,B22)</f>
        <v>20</v>
      </c>
      <c r="H22" s="16" t="n">
        <f aca="false">SUMIFS(Questionnaire!$Q$8:$Q$119,Questionnaire!$B$8:$B$119,B22)</f>
        <v>20</v>
      </c>
      <c r="I22" s="2"/>
      <c r="J22" s="4"/>
      <c r="K22" s="4"/>
      <c r="L22" s="4"/>
    </row>
    <row r="23" customFormat="false" ht="30" hidden="false" customHeight="true" outlineLevel="0" collapsed="false">
      <c r="A23" s="2"/>
      <c r="B23" s="12" t="s">
        <v>26</v>
      </c>
      <c r="C23" s="13" t="str">
        <f aca="false">IF(OR(G23=0,SUMIFS(Questionnaire!$W$8:$W$119,Questionnaire!$B$8:$B$119,B23)=0),"",100*SUMIFS(Questionnaire!$O$8:$O$119,Questionnaire!$B$8:$B$119,B23)/G23)</f>
        <v/>
      </c>
      <c r="D23" s="14" t="n">
        <f aca="false">IF(G23=0,"",SUMIFS(Questionnaire!$W$8:$W$119,Questionnaire!$B$8:$B$119,B23)/COUNTIFS(Questionnaire!$B$8:$B$119,B23,Questionnaire!$I$8:$I$119,"Oui"))</f>
        <v>0</v>
      </c>
      <c r="E23" s="15" t="n">
        <f aca="false">SUMIFS(Questionnaire!$U$8:$U$119,Questionnaire!$B$8:$B$119,B23)</f>
        <v>3</v>
      </c>
      <c r="F23" s="2" t="n">
        <f aca="false">SUMIFS(Questionnaire!$W$8:$W$119,Questionnaire!$B$8:$B$119,B23)-SUMIFS(Questionnaire!$V$8:$V$119,Questionnaire!$B$8:$B$119,B23)</f>
        <v>0</v>
      </c>
      <c r="G23" s="2" t="n">
        <f aca="false">SUMIFS(Questionnaire!$P$8:$P$119,Questionnaire!$B$8:$B$119,B23)</f>
        <v>20</v>
      </c>
      <c r="H23" s="16" t="n">
        <f aca="false">SUMIFS(Questionnaire!$Q$8:$Q$119,Questionnaire!$B$8:$B$119,B23)</f>
        <v>20</v>
      </c>
      <c r="I23" s="2"/>
      <c r="J23" s="4"/>
      <c r="K23" s="4"/>
      <c r="L23" s="4"/>
    </row>
    <row r="24" customFormat="false" ht="30" hidden="false" customHeight="true" outlineLevel="0" collapsed="false">
      <c r="A24" s="2"/>
      <c r="B24" s="12" t="s">
        <v>27</v>
      </c>
      <c r="C24" s="13" t="str">
        <f aca="false">IF(OR(G24=0,SUMIFS(Questionnaire!$W$8:$W$119,Questionnaire!$B$8:$B$119,B24)=0),"",100*SUMIFS(Questionnaire!$O$8:$O$119,Questionnaire!$B$8:$B$119,B24)/G24)</f>
        <v/>
      </c>
      <c r="D24" s="14" t="n">
        <f aca="false">IF(G24=0,"",SUMIFS(Questionnaire!$W$8:$W$119,Questionnaire!$B$8:$B$119,B24)/COUNTIFS(Questionnaire!$B$8:$B$119,B24,Questionnaire!$I$8:$I$119,"Oui"))</f>
        <v>0</v>
      </c>
      <c r="E24" s="15" t="n">
        <f aca="false">SUMIFS(Questionnaire!$U$8:$U$119,Questionnaire!$B$8:$B$119,B24)</f>
        <v>0</v>
      </c>
      <c r="F24" s="2" t="n">
        <f aca="false">SUMIFS(Questionnaire!$W$8:$W$119,Questionnaire!$B$8:$B$119,B24)-SUMIFS(Questionnaire!$V$8:$V$119,Questionnaire!$B$8:$B$119,B24)</f>
        <v>0</v>
      </c>
      <c r="G24" s="2" t="n">
        <f aca="false">SUMIFS(Questionnaire!$P$8:$P$119,Questionnaire!$B$8:$B$119,B24)</f>
        <v>17</v>
      </c>
      <c r="H24" s="16" t="n">
        <f aca="false">SUMIFS(Questionnaire!$Q$8:$Q$119,Questionnaire!$B$8:$B$119,B24)</f>
        <v>17</v>
      </c>
      <c r="I24" s="2"/>
      <c r="J24" s="4"/>
      <c r="K24" s="4"/>
      <c r="L24" s="4"/>
    </row>
    <row r="25" customFormat="false" ht="30" hidden="false" customHeight="true" outlineLevel="0" collapsed="false">
      <c r="A25" s="2"/>
      <c r="B25" s="12" t="s">
        <v>28</v>
      </c>
      <c r="C25" s="13" t="str">
        <f aca="false">IF(OR(G25=0,SUMIFS(Questionnaire!$W$8:$W$119,Questionnaire!$B$8:$B$119,B25)=0),"",100*SUMIFS(Questionnaire!$O$8:$O$119,Questionnaire!$B$8:$B$119,B25)/G25)</f>
        <v/>
      </c>
      <c r="D25" s="14" t="n">
        <f aca="false">IF(G25=0,"",SUMIFS(Questionnaire!$W$8:$W$119,Questionnaire!$B$8:$B$119,B25)/COUNTIFS(Questionnaire!$B$8:$B$119,B25,Questionnaire!$I$8:$I$119,"Oui"))</f>
        <v>0</v>
      </c>
      <c r="E25" s="15" t="n">
        <f aca="false">SUMIFS(Questionnaire!$U$8:$U$119,Questionnaire!$B$8:$B$119,B25)</f>
        <v>0</v>
      </c>
      <c r="F25" s="2" t="n">
        <f aca="false">SUMIFS(Questionnaire!$W$8:$W$119,Questionnaire!$B$8:$B$119,B25)-SUMIFS(Questionnaire!$V$8:$V$119,Questionnaire!$B$8:$B$119,B25)</f>
        <v>0</v>
      </c>
      <c r="G25" s="2" t="n">
        <f aca="false">SUMIFS(Questionnaire!$P$8:$P$119,Questionnaire!$B$8:$B$119,B25)</f>
        <v>18</v>
      </c>
      <c r="H25" s="16" t="n">
        <f aca="false">SUMIFS(Questionnaire!$Q$8:$Q$119,Questionnaire!$B$8:$B$119,B25)</f>
        <v>18</v>
      </c>
      <c r="I25" s="2"/>
      <c r="J25" s="4"/>
      <c r="K25" s="4"/>
      <c r="L25" s="4"/>
    </row>
    <row r="26" customFormat="false" ht="33.75" hidden="false" customHeight="true" outlineLevel="0" collapsed="false">
      <c r="A26" s="2"/>
      <c r="B26" s="12" t="s">
        <v>29</v>
      </c>
      <c r="C26" s="13" t="str">
        <f aca="false">IF(OR(G26=0,SUMIFS(Questionnaire!$W$8:$W$119,Questionnaire!$B$8:$B$119,B26)=0),"",100*SUMIFS(Questionnaire!$O$8:$O$119,Questionnaire!$B$8:$B$119,B26)/G26)</f>
        <v/>
      </c>
      <c r="D26" s="14" t="n">
        <f aca="false">IF(G26=0,"",SUMIFS(Questionnaire!$W$8:$W$119,Questionnaire!$B$8:$B$119,B26)/COUNTIFS(Questionnaire!$B$8:$B$119,B26,Questionnaire!$I$8:$I$119,"Oui"))</f>
        <v>0</v>
      </c>
      <c r="E26" s="15" t="n">
        <f aca="false">SUMIFS(Questionnaire!$U$8:$U$119,Questionnaire!$B$8:$B$119,B26)</f>
        <v>2</v>
      </c>
      <c r="F26" s="2" t="n">
        <f aca="false">SUMIFS(Questionnaire!$W$8:$W$119,Questionnaire!$B$8:$B$119,B26)-SUMIFS(Questionnaire!$V$8:$V$119,Questionnaire!$B$8:$B$119,B26)</f>
        <v>0</v>
      </c>
      <c r="G26" s="2" t="n">
        <f aca="false">SUMIFS(Questionnaire!$P$8:$P$119,Questionnaire!$B$8:$B$119,B26)</f>
        <v>19</v>
      </c>
      <c r="H26" s="16" t="n">
        <f aca="false">SUMIFS(Questionnaire!$Q$8:$Q$119,Questionnaire!$B$8:$B$119,B26)</f>
        <v>19</v>
      </c>
      <c r="I26" s="2"/>
      <c r="J26" s="2"/>
      <c r="K26" s="2"/>
      <c r="L26" s="2"/>
    </row>
    <row r="27" customFormat="false" ht="27" hidden="false" customHeight="true" outlineLevel="0" collapsed="false">
      <c r="A27" s="2"/>
      <c r="B27" s="12" t="s">
        <v>30</v>
      </c>
      <c r="C27" s="13" t="str">
        <f aca="false">IF(OR(G27=0,SUMIFS(Questionnaire!$W$8:$W$119,Questionnaire!$B$8:$B$119,B27)=0),"",100*SUMIFS(Questionnaire!$O$8:$O$119,Questionnaire!$B$8:$B$119,B27)/G27)</f>
        <v/>
      </c>
      <c r="D27" s="14" t="n">
        <f aca="false">IF(G27=0,"",SUMIFS(Questionnaire!$W$8:$W$119,Questionnaire!$B$8:$B$119,B27)/COUNTIFS(Questionnaire!$B$8:$B$119,B27,Questionnaire!$I$8:$I$119,"Oui"))</f>
        <v>0</v>
      </c>
      <c r="E27" s="15" t="n">
        <f aca="false">SUMIFS(Questionnaire!$U$8:$U$119,Questionnaire!$B$8:$B$119,B27)</f>
        <v>0</v>
      </c>
      <c r="F27" s="2" t="n">
        <f aca="false">SUMIFS(Questionnaire!$W$8:$W$119,Questionnaire!$B$8:$B$119,B27)-SUMIFS(Questionnaire!$V$8:$V$119,Questionnaire!$B$8:$B$119,B27)</f>
        <v>0</v>
      </c>
      <c r="G27" s="2" t="n">
        <f aca="false">SUMIFS(Questionnaire!$P$8:$P$119,Questionnaire!$B$8:$B$119,B27)</f>
        <v>16</v>
      </c>
      <c r="H27" s="16" t="n">
        <f aca="false">SUMIFS(Questionnaire!$Q$8:$Q$119,Questionnaire!$B$8:$B$119,B27)</f>
        <v>16</v>
      </c>
      <c r="I27" s="2"/>
      <c r="J27" s="4" t="s">
        <v>31</v>
      </c>
      <c r="K27" s="4"/>
      <c r="L27" s="4"/>
    </row>
    <row r="28" customFormat="false" ht="27" hidden="false" customHeight="true" outlineLevel="0" collapsed="false">
      <c r="A28" s="2"/>
      <c r="B28" s="12" t="s">
        <v>32</v>
      </c>
      <c r="C28" s="13" t="str">
        <f aca="false">IF(OR(G28=0,SUMIFS(Questionnaire!$W$8:$W$119,Questionnaire!$B$8:$B$119,B28)=0),"",100*SUMIFS(Questionnaire!$O$8:$O$119,Questionnaire!$B$8:$B$119,B28)/G28)</f>
        <v/>
      </c>
      <c r="D28" s="14" t="n">
        <f aca="false">IF(G28=0,"",SUMIFS(Questionnaire!$W$8:$W$119,Questionnaire!$B$8:$B$119,B28)/COUNTIFS(Questionnaire!$B$8:$B$119,B28,Questionnaire!$I$8:$I$119,"Oui"))</f>
        <v>0</v>
      </c>
      <c r="E28" s="15" t="n">
        <f aca="false">SUMIFS(Questionnaire!$U$8:$U$119,Questionnaire!$B$8:$B$119,B28)</f>
        <v>1</v>
      </c>
      <c r="F28" s="2" t="n">
        <f aca="false">SUMIFS(Questionnaire!$W$8:$W$119,Questionnaire!$B$8:$B$119,B28)-SUMIFS(Questionnaire!$V$8:$V$119,Questionnaire!$B$8:$B$119,B28)</f>
        <v>0</v>
      </c>
      <c r="G28" s="2" t="n">
        <f aca="false">SUMIFS(Questionnaire!$P$8:$P$119,Questionnaire!$B$8:$B$119,B28)</f>
        <v>19</v>
      </c>
      <c r="H28" s="16" t="n">
        <f aca="false">SUMIFS(Questionnaire!$Q$8:$Q$119,Questionnaire!$B$8:$B$119,B28)</f>
        <v>19</v>
      </c>
      <c r="I28" s="2"/>
      <c r="J28" s="4"/>
      <c r="K28" s="4"/>
      <c r="L28" s="4"/>
    </row>
    <row r="29" customFormat="false" ht="27" hidden="false" customHeight="true" outlineLevel="0" collapsed="false">
      <c r="A29" s="2"/>
      <c r="B29" s="12" t="s">
        <v>33</v>
      </c>
      <c r="C29" s="13" t="str">
        <f aca="false">IF(OR(G29=0,SUMIFS(Questionnaire!$W$8:$W$119,Questionnaire!$B$8:$B$119,B29)=0),"",100*SUMIFS(Questionnaire!$O$8:$O$119,Questionnaire!$B$8:$B$119,B29)/G29)</f>
        <v/>
      </c>
      <c r="D29" s="14" t="n">
        <f aca="false">IF(G29=0,"",SUMIFS(Questionnaire!$W$8:$W$119,Questionnaire!$B$8:$B$119,B29)/COUNTIFS(Questionnaire!$B$8:$B$119,B29,Questionnaire!$I$8:$I$119,"Oui"))</f>
        <v>0</v>
      </c>
      <c r="E29" s="15" t="n">
        <f aca="false">SUMIFS(Questionnaire!$U$8:$U$119,Questionnaire!$B$8:$B$119,B29)</f>
        <v>0</v>
      </c>
      <c r="F29" s="2" t="n">
        <f aca="false">SUMIFS(Questionnaire!$W$8:$W$119,Questionnaire!$B$8:$B$119,B29)-SUMIFS(Questionnaire!$V$8:$V$119,Questionnaire!$B$8:$B$119,B29)</f>
        <v>0</v>
      </c>
      <c r="G29" s="2" t="n">
        <f aca="false">SUMIFS(Questionnaire!$P$8:$P$119,Questionnaire!$B$8:$B$119,B29)</f>
        <v>18</v>
      </c>
      <c r="H29" s="16" t="n">
        <f aca="false">SUMIFS(Questionnaire!$Q$8:$Q$119,Questionnaire!$B$8:$B$119,B29)</f>
        <v>18</v>
      </c>
      <c r="I29" s="2"/>
      <c r="J29" s="4"/>
      <c r="K29" s="4"/>
      <c r="L29" s="4"/>
    </row>
    <row r="30" customFormat="false" ht="15" hidden="false" customHeight="true" outlineLevel="0" collapsed="false">
      <c r="A30" s="2"/>
      <c r="B30" s="2"/>
      <c r="C30" s="2"/>
      <c r="D30" s="2"/>
      <c r="E30" s="2"/>
      <c r="F30" s="2"/>
      <c r="G30" s="2"/>
      <c r="H30" s="2"/>
      <c r="I30" s="2"/>
      <c r="J30" s="2"/>
      <c r="K30" s="2"/>
      <c r="L30" s="2"/>
    </row>
    <row r="31" customFormat="false" ht="15" hidden="false" customHeight="true" outlineLevel="0" collapsed="false">
      <c r="A31" s="2"/>
      <c r="B31" s="2"/>
      <c r="C31" s="2"/>
      <c r="D31" s="2"/>
      <c r="E31" s="2"/>
      <c r="F31" s="2"/>
      <c r="G31" s="2"/>
      <c r="H31" s="2"/>
      <c r="I31" s="2"/>
      <c r="J31" s="2"/>
      <c r="K31" s="2"/>
      <c r="L31" s="2"/>
    </row>
    <row r="32" customFormat="false" ht="24.75" hidden="false" customHeight="true" outlineLevel="0" collapsed="false">
      <c r="A32" s="2"/>
      <c r="B32" s="17" t="s">
        <v>34</v>
      </c>
      <c r="C32" s="17"/>
      <c r="D32" s="17"/>
      <c r="E32" s="17"/>
      <c r="F32" s="17"/>
      <c r="G32" s="17"/>
      <c r="H32" s="17"/>
      <c r="I32" s="17"/>
      <c r="J32" s="17"/>
      <c r="K32" s="17"/>
      <c r="L32" s="17"/>
    </row>
    <row r="33" customFormat="false" ht="33.75" hidden="false" customHeight="true" outlineLevel="0" collapsed="false">
      <c r="A33" s="2"/>
      <c r="B33" s="11" t="s">
        <v>35</v>
      </c>
      <c r="C33" s="11" t="s">
        <v>36</v>
      </c>
      <c r="D33" s="18" t="s">
        <v>37</v>
      </c>
      <c r="E33" s="18"/>
      <c r="F33" s="18"/>
      <c r="G33" s="18"/>
      <c r="H33" s="18"/>
      <c r="I33" s="18"/>
      <c r="J33" s="18"/>
      <c r="K33" s="18"/>
      <c r="L33" s="18"/>
    </row>
    <row r="34" customFormat="false" ht="54.75" hidden="false" customHeight="true" outlineLevel="0" collapsed="false">
      <c r="A34" s="2"/>
      <c r="B34" s="12" t="str">
        <f aca="false">IF(COUNTIFS(Questionnaire!$S$8:$S$119,1)=0,"",INDEX(Questionnaire!$A$8:$A$119,MATCH(1,Questionnaire!$S$8:$S$119,0)))</f>
        <v>CY-03-01</v>
      </c>
      <c r="C34" s="12" t="str">
        <f aca="false">IF(B34="","",INDEX(Questionnaire!$R$8:$R$119,MATCH(B34,Questionnaire!$A$8:$A$119,0)))</f>
        <v>P1</v>
      </c>
      <c r="D34" s="10" t="str">
        <f aca="false">IF(B34="","",INDEX('Plan action'!$D$8:$D$119,MATCH(B34,'Plan action'!$A$8:$A$119,0)))</f>
        <v>Vérifier la situation avec le référent ou le prestataire. Puis : Activer un second facteur. Privilégier les méthodes résistantes au phishing quand disponibles.</v>
      </c>
      <c r="E34" s="10"/>
      <c r="F34" s="10"/>
      <c r="G34" s="10"/>
      <c r="H34" s="10"/>
      <c r="I34" s="10"/>
      <c r="J34" s="10"/>
      <c r="K34" s="10"/>
      <c r="L34" s="10"/>
    </row>
    <row r="35" customFormat="false" ht="54.75" hidden="false" customHeight="true" outlineLevel="0" collapsed="false">
      <c r="A35" s="2"/>
      <c r="B35" s="12" t="str">
        <f aca="false">IF(COUNTIFS(Questionnaire!$S$8:$S$119,2)=0,"",INDEX(Questionnaire!$A$8:$A$119,MATCH(2,Questionnaire!$S$8:$S$119,0)))</f>
        <v>CY-03-02</v>
      </c>
      <c r="C35" s="12" t="str">
        <f aca="false">IF(B35="","",INDEX(Questionnaire!$R$8:$R$119,MATCH(B35,Questionnaire!$A$8:$A$119,0)))</f>
        <v>P1</v>
      </c>
      <c r="D35" s="10" t="str">
        <f aca="false">IF(B35="","",INDEX('Plan action'!$D$8:$D$119,MATCH(B35,'Plan action'!$A$8:$A$119,0)))</f>
        <v>Vérifier la situation avec le référent ou le prestataire. Puis : Activer la double authentification et supprimer les anciens modes de connexion non protégés.</v>
      </c>
      <c r="E35" s="10"/>
      <c r="F35" s="10"/>
      <c r="G35" s="10"/>
      <c r="H35" s="10"/>
      <c r="I35" s="10"/>
      <c r="J35" s="10"/>
      <c r="K35" s="10"/>
      <c r="L35" s="10"/>
    </row>
    <row r="36" customFormat="false" ht="54.75" hidden="false" customHeight="true" outlineLevel="0" collapsed="false">
      <c r="A36" s="2"/>
      <c r="B36" s="12" t="str">
        <f aca="false">IF(COUNTIFS(Questionnaire!$S$8:$S$119,3)=0,"",INDEX(Questionnaire!$A$8:$A$119,MATCH(3,Questionnaire!$S$8:$S$119,0)))</f>
        <v>CY-03-03</v>
      </c>
      <c r="C36" s="12" t="str">
        <f aca="false">IF(B36="","",INDEX(Questionnaire!$R$8:$R$119,MATCH(B36,Questionnaire!$A$8:$A$119,0)))</f>
        <v>P1</v>
      </c>
      <c r="D36" s="10" t="str">
        <f aca="false">IF(B36="","",INDEX('Plan action'!$D$8:$D$119,MATCH(B36,'Plan action'!$A$8:$A$119,0)))</f>
        <v>Vérifier la situation avec le référent ou le prestataire. Puis : Protéger les comptes sensibles par plusieurs facteurs et documenter les rares exceptions.</v>
      </c>
      <c r="E36" s="10"/>
      <c r="F36" s="10"/>
      <c r="G36" s="10"/>
      <c r="H36" s="10"/>
      <c r="I36" s="10"/>
      <c r="J36" s="10"/>
      <c r="K36" s="10"/>
      <c r="L36" s="10"/>
    </row>
    <row r="37" customFormat="false" ht="54.75" hidden="false" customHeight="true" outlineLevel="0" collapsed="false">
      <c r="A37" s="2"/>
      <c r="B37" s="12" t="str">
        <f aca="false">IF(COUNTIFS(Questionnaire!$S$8:$S$119,4)=0,"",INDEX(Questionnaire!$A$8:$A$119,MATCH(4,Questionnaire!$S$8:$S$119,0)))</f>
        <v>CY-04-02</v>
      </c>
      <c r="C37" s="12" t="str">
        <f aca="false">IF(B37="","",INDEX(Questionnaire!$R$8:$R$119,MATCH(B37,Questionnaire!$A$8:$A$119,0)))</f>
        <v>P1</v>
      </c>
      <c r="D37" s="10" t="str">
        <f aca="false">IF(B37="","",INDEX('Plan action'!$D$8:$D$119,MATCH(B37,'Plan action'!$A$8:$A$119,0)))</f>
        <v>Vérifier la situation avec le référent ou le prestataire. Puis : Mettre en place une liste de sortie avec responsable et vérification le jour du départ.</v>
      </c>
      <c r="E37" s="10"/>
      <c r="F37" s="10"/>
      <c r="G37" s="10"/>
      <c r="H37" s="10"/>
      <c r="I37" s="10"/>
      <c r="J37" s="10"/>
      <c r="K37" s="10"/>
      <c r="L37" s="10"/>
    </row>
    <row r="38" customFormat="false" ht="54.75" hidden="false" customHeight="true" outlineLevel="0" collapsed="false">
      <c r="A38" s="2"/>
      <c r="B38" s="12" t="str">
        <f aca="false">IF(COUNTIFS(Questionnaire!$S$8:$S$119,5)=0,"",INDEX(Questionnaire!$A$8:$A$119,MATCH(5,Questionnaire!$S$8:$S$119,0)))</f>
        <v>CY-04-03</v>
      </c>
      <c r="C38" s="12" t="str">
        <f aca="false">IF(B38="","",INDEX(Questionnaire!$R$8:$R$119,MATCH(B38,Questionnaire!$A$8:$A$119,0)))</f>
        <v>P1</v>
      </c>
      <c r="D38" s="10" t="str">
        <f aca="false">IF(B38="","",INDEX('Plan action'!$D$8:$D$119,MATCH(B38,'Plan action'!$A$8:$A$119,0)))</f>
        <v>Vérifier la situation avec le référent ou le prestataire. Puis : Retirer les droits d’administration usuels et utiliser un compte dédié aux interventions.</v>
      </c>
      <c r="E38" s="10"/>
      <c r="F38" s="10"/>
      <c r="G38" s="10"/>
      <c r="H38" s="10"/>
      <c r="I38" s="10"/>
      <c r="J38" s="10"/>
      <c r="K38" s="10"/>
      <c r="L38" s="10"/>
    </row>
    <row r="39" customFormat="false" ht="54.75" hidden="false" customHeight="true" outlineLevel="0" collapsed="false">
      <c r="A39" s="2"/>
      <c r="B39" s="12" t="str">
        <f aca="false">IF(COUNTIFS(Questionnaire!$S$8:$S$119,6)=0,"",INDEX(Questionnaire!$A$8:$A$119,MATCH(6,Questionnaire!$S$8:$S$119,0)))</f>
        <v>CY-05-01</v>
      </c>
      <c r="C39" s="12" t="str">
        <f aca="false">IF(B39="","",INDEX(Questionnaire!$R$8:$R$119,MATCH(B39,Questionnaire!$A$8:$A$119,0)))</f>
        <v>P1</v>
      </c>
      <c r="D39" s="10" t="str">
        <f aca="false">IF(B39="","",INDEX('Plan action'!$D$8:$D$119,MATCH(B39,'Plan action'!$A$8:$A$119,0)))</f>
        <v>Vérifier la situation avec le référent ou le prestataire. Puis : Activer une protection adaptée, contrôler sa couverture et désigner qui traite les alertes.</v>
      </c>
      <c r="E39" s="10"/>
      <c r="F39" s="10"/>
      <c r="G39" s="10"/>
      <c r="H39" s="10"/>
      <c r="I39" s="10"/>
      <c r="J39" s="10"/>
      <c r="K39" s="10"/>
      <c r="L39" s="10"/>
    </row>
    <row r="40" customFormat="false" ht="15" hidden="false" customHeight="true" outlineLevel="0" collapsed="false">
      <c r="A40" s="2"/>
      <c r="B40" s="2"/>
      <c r="C40" s="2"/>
      <c r="D40" s="2"/>
      <c r="E40" s="2"/>
      <c r="F40" s="2"/>
      <c r="G40" s="2"/>
      <c r="H40" s="2"/>
      <c r="I40" s="2"/>
      <c r="J40" s="2"/>
      <c r="K40" s="2"/>
      <c r="L40" s="2"/>
    </row>
    <row r="41" customFormat="false" ht="24.75" hidden="false" customHeight="true" outlineLevel="0" collapsed="false">
      <c r="A41" s="2"/>
      <c r="B41" s="4" t="s">
        <v>38</v>
      </c>
      <c r="C41" s="4"/>
      <c r="D41" s="4"/>
      <c r="E41" s="4"/>
      <c r="F41" s="4"/>
      <c r="G41" s="4"/>
      <c r="H41" s="4"/>
      <c r="I41" s="4"/>
      <c r="J41" s="4"/>
      <c r="K41" s="4"/>
      <c r="L41" s="4"/>
    </row>
    <row r="42" customFormat="false" ht="24.75" hidden="false" customHeight="true" outlineLevel="0" collapsed="false">
      <c r="A42" s="2"/>
      <c r="B42" s="4"/>
      <c r="C42" s="4"/>
      <c r="D42" s="4"/>
      <c r="E42" s="4"/>
      <c r="F42" s="4"/>
      <c r="G42" s="4"/>
      <c r="H42" s="4"/>
      <c r="I42" s="4"/>
      <c r="J42" s="4"/>
      <c r="K42" s="4"/>
      <c r="L42" s="4"/>
    </row>
    <row r="43" customFormat="false" ht="15" hidden="false" customHeight="true" outlineLevel="0" collapsed="false">
      <c r="A43" s="2"/>
      <c r="B43" s="2"/>
      <c r="C43" s="2"/>
      <c r="D43" s="2"/>
      <c r="E43" s="2"/>
      <c r="F43" s="2"/>
      <c r="G43" s="2"/>
      <c r="H43" s="2"/>
      <c r="I43" s="2"/>
      <c r="J43" s="2"/>
      <c r="K43" s="2"/>
      <c r="L43" s="2"/>
    </row>
    <row r="44" customFormat="false" ht="24.75" hidden="false" customHeight="true" outlineLevel="0" collapsed="false">
      <c r="A44" s="2"/>
      <c r="B44" s="17" t="s">
        <v>39</v>
      </c>
      <c r="C44" s="17"/>
      <c r="D44" s="17"/>
      <c r="E44" s="17"/>
      <c r="F44" s="17"/>
      <c r="G44" s="17"/>
      <c r="H44" s="17"/>
      <c r="I44" s="17"/>
      <c r="J44" s="17"/>
      <c r="K44" s="17"/>
      <c r="L44" s="17"/>
    </row>
    <row r="45" customFormat="false" ht="33.75" hidden="false" customHeight="true" outlineLevel="0" collapsed="false">
      <c r="A45" s="2"/>
      <c r="B45" s="11" t="s">
        <v>40</v>
      </c>
      <c r="C45" s="11" t="s">
        <v>12</v>
      </c>
      <c r="D45" s="11" t="s">
        <v>15</v>
      </c>
      <c r="E45" s="2"/>
      <c r="F45" s="2"/>
      <c r="G45" s="2"/>
      <c r="H45" s="2"/>
      <c r="I45" s="2"/>
      <c r="J45" s="2"/>
      <c r="K45" s="2"/>
      <c r="L45" s="2"/>
    </row>
    <row r="46" customFormat="false" ht="31.5" hidden="false" customHeight="true" outlineLevel="0" collapsed="false">
      <c r="A46" s="2"/>
      <c r="B46" s="2" t="s">
        <v>41</v>
      </c>
      <c r="C46" s="13" t="str">
        <f aca="false">IF(OR(D46=0,SUM(F16,F17)+SUMIFS(Questionnaire!$V$8:$V$119,Questionnaire!$B$8:$B$119,B16)+SUMIFS(Questionnaire!$V$8:$V$119,Questionnaire!$B$8:$B$119,B17)=0),"",100*(D46-SUM(H16,H17))/D46)</f>
        <v/>
      </c>
      <c r="D46" s="2" t="n">
        <f aca="false">SUM(G16,G17)</f>
        <v>33</v>
      </c>
      <c r="E46" s="2"/>
      <c r="F46" s="2"/>
      <c r="G46" s="2"/>
      <c r="H46" s="2"/>
      <c r="I46" s="2"/>
      <c r="J46" s="2"/>
      <c r="K46" s="2"/>
      <c r="L46" s="2"/>
    </row>
    <row r="47" customFormat="false" ht="31.5" hidden="false" customHeight="true" outlineLevel="0" collapsed="false">
      <c r="A47" s="2"/>
      <c r="B47" s="2" t="s">
        <v>42</v>
      </c>
      <c r="C47" s="13" t="str">
        <f aca="false">IF(OR(D47=0,SUM(F18,F19)+SUMIFS(Questionnaire!$V$8:$V$119,Questionnaire!$B$8:$B$119,B18)+SUMIFS(Questionnaire!$V$8:$V$119,Questionnaire!$B$8:$B$119,B19)=0),"",100*(D47-SUM(H18,H19))/D47)</f>
        <v/>
      </c>
      <c r="D47" s="2" t="n">
        <f aca="false">SUM(G18,G19)</f>
        <v>40</v>
      </c>
      <c r="E47" s="2"/>
      <c r="F47" s="2"/>
      <c r="G47" s="2"/>
      <c r="H47" s="2"/>
      <c r="I47" s="2"/>
      <c r="J47" s="2"/>
      <c r="K47" s="2"/>
      <c r="L47" s="2"/>
    </row>
    <row r="48" customFormat="false" ht="31.5" hidden="false" customHeight="true" outlineLevel="0" collapsed="false">
      <c r="A48" s="2"/>
      <c r="B48" s="2" t="s">
        <v>43</v>
      </c>
      <c r="C48" s="13" t="str">
        <f aca="false">IF(OR(D48=0,SUM(F20)+SUMIFS(Questionnaire!$V$8:$V$119,Questionnaire!$B$8:$B$119,B20)=0),"",100*(D48-SUM(H20))/D48)</f>
        <v/>
      </c>
      <c r="D48" s="2" t="n">
        <f aca="false">SUM(G20)</f>
        <v>19</v>
      </c>
      <c r="E48" s="2"/>
      <c r="F48" s="2"/>
      <c r="G48" s="2"/>
      <c r="H48" s="2"/>
      <c r="I48" s="2"/>
      <c r="J48" s="2"/>
      <c r="K48" s="2"/>
      <c r="L48" s="2"/>
    </row>
    <row r="49" customFormat="false" ht="31.5" hidden="false" customHeight="true" outlineLevel="0" collapsed="false">
      <c r="A49" s="2"/>
      <c r="B49" s="2" t="s">
        <v>44</v>
      </c>
      <c r="C49" s="13" t="str">
        <f aca="false">IF(OR(D49=0,SUM(F21,F23,F24,F25,F26)+SUMIFS(Questionnaire!$V$8:$V$119,Questionnaire!$B$8:$B$119,B21)+SUMIFS(Questionnaire!$V$8:$V$119,Questionnaire!$B$8:$B$119,B23)+SUMIFS(Questionnaire!$V$8:$V$119,Questionnaire!$B$8:$B$119,B24)+SUMIFS(Questionnaire!$V$8:$V$119,Questionnaire!$B$8:$B$119,B25)+SUMIFS(Questionnaire!$V$8:$V$119,Questionnaire!$B$8:$B$119,B26)=0),"",100*(D49-SUM(H21,H23,H24,H25,H26))/D49)</f>
        <v/>
      </c>
      <c r="D49" s="2" t="n">
        <f aca="false">SUM(G21,G23,G24,G25,G26)</f>
        <v>91</v>
      </c>
      <c r="E49" s="2"/>
      <c r="F49" s="2"/>
      <c r="G49" s="2"/>
      <c r="H49" s="2"/>
      <c r="I49" s="2"/>
      <c r="J49" s="2"/>
      <c r="K49" s="2"/>
      <c r="L49" s="2"/>
    </row>
    <row r="50" customFormat="false" ht="31.5" hidden="false" customHeight="true" outlineLevel="0" collapsed="false">
      <c r="A50" s="2"/>
      <c r="B50" s="2" t="s">
        <v>45</v>
      </c>
      <c r="C50" s="13" t="str">
        <f aca="false">IF(OR(D50=0,SUM(F22,F27)+SUMIFS(Questionnaire!$V$8:$V$119,Questionnaire!$B$8:$B$119,B22)+SUMIFS(Questionnaire!$V$8:$V$119,Questionnaire!$B$8:$B$119,B27)=0),"",100*(D50-SUM(H22,H27))/D50)</f>
        <v/>
      </c>
      <c r="D50" s="2" t="n">
        <f aca="false">SUM(G22,G27)</f>
        <v>36</v>
      </c>
      <c r="E50" s="2"/>
      <c r="F50" s="2"/>
      <c r="G50" s="2"/>
      <c r="H50" s="2"/>
      <c r="I50" s="2"/>
      <c r="J50" s="2"/>
      <c r="K50" s="2"/>
      <c r="L50" s="2"/>
    </row>
    <row r="51" customFormat="false" ht="31.5" hidden="false" customHeight="true" outlineLevel="0" collapsed="false">
      <c r="A51" s="2"/>
      <c r="B51" s="2" t="s">
        <v>46</v>
      </c>
      <c r="C51" s="13" t="str">
        <f aca="false">IF(OR(D51=0,SUM(F28,F29)+SUMIFS(Questionnaire!$V$8:$V$119,Questionnaire!$B$8:$B$119,B28)+SUMIFS(Questionnaire!$V$8:$V$119,Questionnaire!$B$8:$B$119,B29)=0),"",100*(D51-SUM(H28,H29))/D51)</f>
        <v/>
      </c>
      <c r="D51" s="2" t="n">
        <f aca="false">SUM(G28,G29)</f>
        <v>37</v>
      </c>
      <c r="E51" s="2"/>
      <c r="F51" s="2"/>
      <c r="G51" s="2"/>
      <c r="H51" s="2"/>
      <c r="I51" s="2"/>
      <c r="J51" s="2"/>
      <c r="K51" s="2"/>
      <c r="L51" s="2"/>
    </row>
    <row r="52" customFormat="false" ht="15" hidden="false" customHeight="true" outlineLevel="0" collapsed="false">
      <c r="A52" s="2"/>
      <c r="B52" s="2"/>
      <c r="C52" s="2"/>
      <c r="D52" s="2"/>
      <c r="E52" s="2"/>
      <c r="F52" s="2"/>
      <c r="G52" s="2"/>
      <c r="H52" s="2"/>
      <c r="I52" s="2"/>
      <c r="J52" s="2"/>
      <c r="K52" s="2"/>
      <c r="L52" s="2"/>
    </row>
    <row r="53" customFormat="false" ht="15" hidden="false" customHeight="true" outlineLevel="0" collapsed="false">
      <c r="A53" s="2"/>
      <c r="B53" s="2"/>
      <c r="C53" s="2"/>
      <c r="D53" s="2"/>
      <c r="E53" s="2"/>
      <c r="F53" s="2"/>
      <c r="G53" s="2"/>
      <c r="H53" s="2"/>
      <c r="I53" s="2"/>
      <c r="J53" s="2"/>
      <c r="K53" s="2"/>
      <c r="L53" s="2"/>
    </row>
    <row r="54" customFormat="false" ht="27.75" hidden="false" customHeight="true" outlineLevel="0" collapsed="false">
      <c r="A54" s="2"/>
      <c r="B54" s="4" t="s">
        <v>47</v>
      </c>
      <c r="C54" s="4"/>
      <c r="D54" s="4"/>
      <c r="E54" s="2"/>
      <c r="F54" s="2"/>
      <c r="G54" s="2"/>
      <c r="H54" s="2"/>
      <c r="I54" s="2"/>
      <c r="J54" s="2"/>
      <c r="K54" s="2"/>
      <c r="L54" s="2"/>
    </row>
    <row r="55" customFormat="false" ht="27.75" hidden="false" customHeight="true" outlineLevel="0" collapsed="false">
      <c r="A55" s="2"/>
      <c r="B55" s="4"/>
      <c r="C55" s="4"/>
      <c r="D55" s="4"/>
      <c r="E55" s="2"/>
      <c r="F55" s="2"/>
      <c r="G55" s="2"/>
      <c r="H55" s="2"/>
      <c r="I55" s="2"/>
      <c r="J55" s="2"/>
      <c r="K55" s="2"/>
      <c r="L55" s="2"/>
    </row>
    <row r="56" customFormat="false" ht="27.75" hidden="false" customHeight="true" outlineLevel="0" collapsed="false">
      <c r="A56" s="2"/>
      <c r="B56" s="4"/>
      <c r="C56" s="4"/>
      <c r="D56" s="4"/>
      <c r="E56" s="2"/>
      <c r="F56" s="2"/>
      <c r="G56" s="2"/>
      <c r="H56" s="2"/>
      <c r="I56" s="2"/>
      <c r="J56" s="2"/>
      <c r="K56" s="2"/>
      <c r="L56" s="2"/>
    </row>
    <row r="57" customFormat="false" ht="27.75" hidden="false" customHeight="true" outlineLevel="0" collapsed="false">
      <c r="A57" s="2"/>
      <c r="B57" s="4"/>
      <c r="C57" s="4"/>
      <c r="D57" s="4"/>
      <c r="E57" s="2"/>
      <c r="F57" s="2"/>
      <c r="G57" s="2"/>
      <c r="H57" s="2"/>
      <c r="I57" s="2"/>
      <c r="J57" s="2"/>
      <c r="K57" s="2"/>
      <c r="L57" s="2"/>
    </row>
    <row r="58" customFormat="false" ht="27.75" hidden="false" customHeight="true" outlineLevel="0" collapsed="false">
      <c r="A58" s="2"/>
      <c r="B58" s="4"/>
      <c r="C58" s="4"/>
      <c r="D58" s="4"/>
      <c r="E58" s="2"/>
      <c r="F58" s="2"/>
      <c r="G58" s="2"/>
      <c r="H58" s="2"/>
      <c r="I58" s="2"/>
      <c r="J58" s="2"/>
      <c r="K58" s="2"/>
      <c r="L58" s="2"/>
    </row>
    <row r="59" customFormat="false" ht="15" hidden="false" customHeight="true" outlineLevel="0" collapsed="false">
      <c r="A59" s="2"/>
      <c r="B59" s="2"/>
      <c r="C59" s="2"/>
      <c r="D59" s="2"/>
      <c r="E59" s="2"/>
      <c r="F59" s="2"/>
      <c r="G59" s="2"/>
      <c r="H59" s="2"/>
      <c r="I59" s="2"/>
      <c r="J59" s="2"/>
      <c r="K59" s="2"/>
      <c r="L59" s="2"/>
    </row>
    <row r="60" customFormat="false" ht="15" hidden="false" customHeight="true" outlineLevel="0" collapsed="false">
      <c r="A60" s="2"/>
      <c r="B60" s="2"/>
      <c r="C60" s="2"/>
      <c r="D60" s="2"/>
      <c r="E60" s="2"/>
      <c r="F60" s="2"/>
      <c r="G60" s="2"/>
      <c r="H60" s="2"/>
      <c r="I60" s="2"/>
      <c r="J60" s="2"/>
      <c r="K60" s="2"/>
      <c r="L60" s="2"/>
    </row>
    <row r="61" customFormat="false" ht="24.75" hidden="false" customHeight="true" outlineLevel="0" collapsed="false">
      <c r="A61" s="2"/>
      <c r="B61" s="17" t="s">
        <v>48</v>
      </c>
      <c r="C61" s="17"/>
      <c r="D61" s="17"/>
      <c r="E61" s="17"/>
      <c r="F61" s="17"/>
      <c r="G61" s="17"/>
      <c r="H61" s="17"/>
      <c r="I61" s="17"/>
      <c r="J61" s="17"/>
      <c r="K61" s="17"/>
      <c r="L61" s="17"/>
    </row>
    <row r="62" customFormat="false" ht="25.5" hidden="false" customHeight="true" outlineLevel="0" collapsed="false">
      <c r="A62" s="2"/>
      <c r="B62" s="19" t="s">
        <v>49</v>
      </c>
      <c r="C62" s="20" t="str">
        <f aca="false">IF(Paliers!$C$15="","Le palier s’affiche après la première réponse valide du questionnaire.",Paliers!$C$16&amp;" · "&amp;INDEX(Paliers!$D$6:$D$10,Paliers!$C$15)&amp;" /100")</f>
        <v>Le palier s’affiche après la première réponse valide du questionnaire.</v>
      </c>
      <c r="D62" s="20"/>
      <c r="E62" s="20"/>
      <c r="F62" s="20"/>
      <c r="G62" s="20"/>
      <c r="H62" s="20"/>
      <c r="I62" s="20"/>
      <c r="J62" s="20"/>
      <c r="K62" s="20"/>
      <c r="L62" s="20"/>
    </row>
    <row r="63" customFormat="false" ht="39.75" hidden="false" customHeight="true" outlineLevel="0" collapsed="false">
      <c r="A63" s="2"/>
      <c r="B63" s="19" t="s">
        <v>50</v>
      </c>
      <c r="C63" s="20" t="str">
        <f aca="false">IF(Paliers!$C$15="","",IF(Paliers!$C$15&gt;=5,"Palier le plus élevé atteint. L’enjeu devient de tenir ce niveau : revue semestrielle, exercices et contrôle des nouveaux outils.","+"&amp;TEXT(Paliers!$C$18,"0.0")&amp;" points pour atteindre le palier "&amp;Paliers!$C$17&amp;". Les domaines à plus fort écart pondéré du tableau ci-dessus rapportent le plus vite."))</f>
        <v/>
      </c>
      <c r="D63" s="20"/>
      <c r="E63" s="20"/>
      <c r="F63" s="20"/>
      <c r="G63" s="20"/>
      <c r="H63" s="20"/>
      <c r="I63" s="20"/>
      <c r="J63" s="20"/>
      <c r="K63" s="20"/>
      <c r="L63" s="20"/>
    </row>
    <row r="64" customFormat="false" ht="51" hidden="false" customHeight="true" outlineLevel="0" collapsed="false">
      <c r="A64" s="2"/>
      <c r="B64" s="19" t="s">
        <v>51</v>
      </c>
      <c r="C64" s="21" t="str">
        <f aca="false">IF(Paliers!$C$15="","",INDEX(Paliers!$E$6:$E$10,Paliers!$C$15))</f>
        <v/>
      </c>
      <c r="D64" s="21"/>
      <c r="E64" s="21"/>
      <c r="F64" s="21"/>
      <c r="G64" s="21"/>
      <c r="H64" s="21"/>
      <c r="I64" s="21"/>
      <c r="J64" s="21"/>
      <c r="K64" s="21"/>
      <c r="L64" s="21"/>
    </row>
    <row r="65" customFormat="false" ht="87.75" hidden="false" customHeight="true" outlineLevel="0" collapsed="false">
      <c r="A65" s="2"/>
      <c r="B65" s="19" t="s">
        <v>52</v>
      </c>
      <c r="C65" s="21" t="str">
        <f aca="false">IF(Paliers!$C$15="","",INDEX(Paliers!$F$6:$F$10,Paliers!$C$15))</f>
        <v/>
      </c>
      <c r="D65" s="21"/>
      <c r="E65" s="21"/>
      <c r="F65" s="21"/>
      <c r="G65" s="21"/>
      <c r="H65" s="21"/>
      <c r="I65" s="21"/>
      <c r="J65" s="21"/>
      <c r="K65" s="21"/>
      <c r="L65" s="21"/>
    </row>
    <row r="66" customFormat="false" ht="51" hidden="false" customHeight="true" outlineLevel="0" collapsed="false">
      <c r="A66" s="2"/>
      <c r="B66" s="19" t="str">
        <f aca="false">IF(Paliers!$C$15="","Ce que le palier supérieur apporte",IF(Paliers!$C$15&gt;=5,"Ce qu’il faut préserver","Ce que le palier supérieur apporte"))</f>
        <v>Ce que le palier supérieur apporte</v>
      </c>
      <c r="C66" s="21" t="str">
        <f aca="false">IF(Paliers!$C$15="","",INDEX(Paliers!$G$6:$G$10,Paliers!$C$15))</f>
        <v/>
      </c>
      <c r="D66" s="21"/>
      <c r="E66" s="21"/>
      <c r="F66" s="21"/>
      <c r="G66" s="21"/>
      <c r="H66" s="21"/>
      <c r="I66" s="21"/>
      <c r="J66" s="21"/>
      <c r="K66" s="21"/>
      <c r="L66" s="21"/>
    </row>
    <row r="67" customFormat="false" ht="69.75" hidden="false" customHeight="true" outlineLevel="0" collapsed="false">
      <c r="A67" s="2"/>
      <c r="B67" s="19" t="str">
        <f aca="false">IF(Paliers!$C$15="","Leviers pour franchir le palier",IF(Paliers!$C$15&gt;=5,"Leviers pour tenir ce niveau","Leviers pour franchir le palier"))</f>
        <v>Leviers pour franchir le palier</v>
      </c>
      <c r="C67" s="21" t="str">
        <f aca="false">IF(Paliers!$C$15="","",INDEX(Paliers!$H$6:$H$10,Paliers!$C$15))</f>
        <v/>
      </c>
      <c r="D67" s="21"/>
      <c r="E67" s="21"/>
      <c r="F67" s="21"/>
      <c r="G67" s="21"/>
      <c r="H67" s="21"/>
      <c r="I67" s="21"/>
      <c r="J67" s="21"/>
      <c r="K67" s="21"/>
      <c r="L67" s="21"/>
    </row>
    <row r="68" customFormat="false" ht="15" hidden="false" customHeight="true" outlineLevel="0" collapsed="false">
      <c r="A68" s="2"/>
      <c r="B68" s="2"/>
      <c r="C68" s="2"/>
      <c r="D68" s="2"/>
      <c r="E68" s="2"/>
      <c r="F68" s="2"/>
      <c r="G68" s="2"/>
      <c r="H68" s="2"/>
      <c r="I68" s="2"/>
      <c r="J68" s="2"/>
      <c r="K68" s="2"/>
      <c r="L68" s="2"/>
    </row>
    <row r="69" customFormat="false" ht="27.75" hidden="false" customHeight="true" outlineLevel="0" collapsed="false">
      <c r="A69" s="2"/>
      <c r="B69" s="4" t="s">
        <v>53</v>
      </c>
      <c r="C69" s="4"/>
      <c r="D69" s="4"/>
      <c r="E69" s="4"/>
      <c r="F69" s="4"/>
      <c r="G69" s="4"/>
      <c r="H69" s="4"/>
      <c r="I69" s="4"/>
      <c r="J69" s="4"/>
      <c r="K69" s="4"/>
      <c r="L69" s="4"/>
    </row>
    <row r="70" customFormat="false" ht="15" hidden="false" customHeight="true" outlineLevel="0" collapsed="false">
      <c r="A70" s="2"/>
      <c r="B70" s="2"/>
      <c r="C70" s="2"/>
      <c r="D70" s="2"/>
      <c r="E70" s="2"/>
      <c r="F70" s="2"/>
      <c r="G70" s="2"/>
      <c r="H70" s="2"/>
      <c r="I70" s="2"/>
      <c r="J70" s="2"/>
      <c r="K70" s="2"/>
      <c r="L70" s="2"/>
    </row>
    <row r="71" customFormat="false" ht="25.5" hidden="false" customHeight="true" outlineLevel="0" collapsed="false">
      <c r="A71" s="2"/>
      <c r="B71" s="4" t="s">
        <v>54</v>
      </c>
      <c r="C71" s="4"/>
      <c r="D71" s="4"/>
      <c r="E71" s="4"/>
      <c r="F71" s="4"/>
      <c r="G71" s="4"/>
      <c r="H71" s="4"/>
      <c r="I71" s="4"/>
      <c r="J71" s="4"/>
      <c r="K71" s="4"/>
      <c r="L71" s="4"/>
    </row>
    <row r="72" customFormat="false" ht="25.5" hidden="false" customHeight="true" outlineLevel="0" collapsed="false">
      <c r="A72" s="2"/>
      <c r="B72" s="4"/>
      <c r="C72" s="4"/>
      <c r="D72" s="4"/>
      <c r="E72" s="4"/>
      <c r="F72" s="4"/>
      <c r="G72" s="4"/>
      <c r="H72" s="4"/>
      <c r="I72" s="4"/>
      <c r="J72" s="4"/>
      <c r="K72" s="4"/>
      <c r="L72" s="4"/>
    </row>
    <row r="73" customFormat="false" ht="25.5" hidden="false" customHeight="true" outlineLevel="0" collapsed="false">
      <c r="A73" s="2"/>
      <c r="B73" s="4"/>
      <c r="C73" s="4"/>
      <c r="D73" s="4"/>
      <c r="E73" s="4"/>
      <c r="F73" s="4"/>
      <c r="G73" s="4"/>
      <c r="H73" s="4"/>
      <c r="I73" s="4"/>
      <c r="J73" s="4"/>
      <c r="K73" s="4"/>
      <c r="L73" s="4"/>
    </row>
    <row r="74" customFormat="false" ht="15" hidden="false" customHeight="true" outlineLevel="0" collapsed="false">
      <c r="A74" s="2"/>
      <c r="B74" s="2"/>
      <c r="C74" s="2"/>
      <c r="D74" s="2"/>
      <c r="E74" s="2"/>
      <c r="F74" s="2"/>
      <c r="G74" s="2"/>
      <c r="H74" s="2"/>
      <c r="I74" s="2"/>
      <c r="J74" s="2"/>
      <c r="K74" s="2"/>
      <c r="L74" s="2"/>
    </row>
    <row r="75" customFormat="false" ht="25.5" hidden="false" customHeight="true" outlineLevel="0" collapsed="false">
      <c r="A75" s="2"/>
      <c r="B75" s="4" t="s">
        <v>55</v>
      </c>
      <c r="C75" s="4"/>
      <c r="D75" s="4"/>
      <c r="E75" s="4"/>
      <c r="F75" s="4"/>
      <c r="G75" s="4"/>
      <c r="H75" s="4"/>
      <c r="I75" s="4"/>
      <c r="J75" s="4"/>
      <c r="K75" s="4"/>
      <c r="L75" s="4"/>
    </row>
    <row r="76" customFormat="false" ht="25.5" hidden="false" customHeight="true" outlineLevel="0" collapsed="false">
      <c r="A76" s="2"/>
      <c r="B76" s="4"/>
      <c r="C76" s="4"/>
      <c r="D76" s="4"/>
      <c r="E76" s="4"/>
      <c r="F76" s="4"/>
      <c r="G76" s="4"/>
      <c r="H76" s="4"/>
      <c r="I76" s="4"/>
      <c r="J76" s="4"/>
      <c r="K76" s="4"/>
      <c r="L76" s="4"/>
    </row>
    <row r="77" customFormat="false" ht="25.5" hidden="false" customHeight="true" outlineLevel="0" collapsed="false">
      <c r="A77" s="2"/>
      <c r="B77" s="4"/>
      <c r="C77" s="4"/>
      <c r="D77" s="4"/>
      <c r="E77" s="4"/>
      <c r="F77" s="4"/>
      <c r="G77" s="4"/>
      <c r="H77" s="4"/>
      <c r="I77" s="4"/>
      <c r="J77" s="4"/>
      <c r="K77" s="4"/>
      <c r="L77" s="4"/>
    </row>
  </sheetData>
  <mergeCells count="35">
    <mergeCell ref="B2:L2"/>
    <mergeCell ref="B3:L3"/>
    <mergeCell ref="B5:E5"/>
    <mergeCell ref="G5:H5"/>
    <mergeCell ref="J5:L5"/>
    <mergeCell ref="B7:D7"/>
    <mergeCell ref="J7:L7"/>
    <mergeCell ref="B10:H10"/>
    <mergeCell ref="J10:K10"/>
    <mergeCell ref="B11:L11"/>
    <mergeCell ref="J12:K12"/>
    <mergeCell ref="J15:L19"/>
    <mergeCell ref="J21:L25"/>
    <mergeCell ref="J27:L29"/>
    <mergeCell ref="B32:L32"/>
    <mergeCell ref="D33:L33"/>
    <mergeCell ref="D34:L34"/>
    <mergeCell ref="D35:L35"/>
    <mergeCell ref="D36:L36"/>
    <mergeCell ref="D37:L37"/>
    <mergeCell ref="D38:L38"/>
    <mergeCell ref="D39:L39"/>
    <mergeCell ref="B41:L42"/>
    <mergeCell ref="B44:L44"/>
    <mergeCell ref="B54:D58"/>
    <mergeCell ref="B61:L61"/>
    <mergeCell ref="C62:L62"/>
    <mergeCell ref="C63:L63"/>
    <mergeCell ref="C64:L64"/>
    <mergeCell ref="C65:L65"/>
    <mergeCell ref="C66:L66"/>
    <mergeCell ref="C67:L67"/>
    <mergeCell ref="B69:L69"/>
    <mergeCell ref="B71:L73"/>
    <mergeCell ref="B75:L77"/>
  </mergeCells>
  <conditionalFormatting sqref="C16:C29">
    <cfRule type="expression" priority="2" aboveAverage="0" equalAverage="0" bottom="0" percent="0" rank="0" text="" dxfId="0">
      <formula>AND(ISNUMBER(C16),C16&lt;40)</formula>
    </cfRule>
    <cfRule type="expression" priority="3" aboveAverage="0" equalAverage="0" bottom="0" percent="0" rank="0" text="" dxfId="1">
      <formula>AND(ISNUMBER(C16),C16&gt;=40,C16&lt;80)</formula>
    </cfRule>
    <cfRule type="expression" priority="4" aboveAverage="0" equalAverage="0" bottom="0" percent="0" rank="0" text="" dxfId="2">
      <formula>AND(ISNUMBER(C16),C16&gt;=80)</formula>
    </cfRule>
  </conditionalFormatting>
  <conditionalFormatting sqref="E16:E29">
    <cfRule type="cellIs" priority="5" operator="greaterThan" aboveAverage="0" equalAverage="0" bottom="0" percent="0" rank="0" text="" dxfId="3">
      <formula>0</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38827"/>
    <pageSetUpPr fitToPage="false"/>
  </sheetPr>
  <dimension ref="A1:F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43"/>
    <col collapsed="false" customWidth="true" hidden="false" outlineLevel="0" max="3" min="3" style="1" width="40"/>
    <col collapsed="false" customWidth="true" hidden="false" outlineLevel="0" max="4" min="4" style="1" width="4"/>
    <col collapsed="false" customWidth="true" hidden="false" outlineLevel="0" max="5" min="5" style="1" width="29"/>
    <col collapsed="false" customWidth="true" hidden="false" outlineLevel="0" max="6" min="6" style="1" width="64"/>
  </cols>
  <sheetData>
    <row r="1" customFormat="false" ht="15" hidden="false" customHeight="true" outlineLevel="0" collapsed="false">
      <c r="A1" s="2"/>
      <c r="B1" s="2"/>
      <c r="C1" s="2"/>
      <c r="D1" s="2"/>
      <c r="E1" s="2"/>
      <c r="F1" s="2"/>
    </row>
    <row r="2" customFormat="false" ht="30" hidden="false" customHeight="true" outlineLevel="0" collapsed="false">
      <c r="A2" s="2"/>
      <c r="B2" s="3" t="s">
        <v>56</v>
      </c>
      <c r="C2" s="3"/>
      <c r="D2" s="3"/>
      <c r="E2" s="3"/>
      <c r="F2" s="3"/>
    </row>
    <row r="3" customFormat="false" ht="27.75" hidden="false" customHeight="true" outlineLevel="0" collapsed="false">
      <c r="A3" s="2"/>
      <c r="B3" s="4" t="s">
        <v>57</v>
      </c>
      <c r="C3" s="4"/>
      <c r="D3" s="4"/>
      <c r="E3" s="4"/>
      <c r="F3" s="4"/>
    </row>
    <row r="4" customFormat="false" ht="15" hidden="false" customHeight="true" outlineLevel="0" collapsed="false">
      <c r="A4" s="2"/>
      <c r="B4" s="2"/>
      <c r="C4" s="2"/>
      <c r="D4" s="2"/>
      <c r="E4" s="2"/>
      <c r="F4" s="2"/>
    </row>
    <row r="5" customFormat="false" ht="31.5" hidden="false" customHeight="true" outlineLevel="0" collapsed="false">
      <c r="A5" s="2"/>
      <c r="B5" s="12" t="s">
        <v>58</v>
      </c>
      <c r="C5" s="22"/>
      <c r="D5" s="2"/>
      <c r="E5" s="4" t="s">
        <v>59</v>
      </c>
      <c r="F5" s="4"/>
    </row>
    <row r="6" customFormat="false" ht="31.5" hidden="false" customHeight="true" outlineLevel="0" collapsed="false">
      <c r="A6" s="2"/>
      <c r="B6" s="12" t="s">
        <v>60</v>
      </c>
      <c r="C6" s="22"/>
      <c r="D6" s="2"/>
      <c r="E6" s="4"/>
      <c r="F6" s="4"/>
    </row>
    <row r="7" customFormat="false" ht="31.5" hidden="false" customHeight="true" outlineLevel="0" collapsed="false">
      <c r="A7" s="2"/>
      <c r="B7" s="12" t="s">
        <v>61</v>
      </c>
      <c r="C7" s="22"/>
      <c r="D7" s="2"/>
      <c r="E7" s="4"/>
      <c r="F7" s="4"/>
    </row>
    <row r="8" customFormat="false" ht="30" hidden="false" customHeight="true" outlineLevel="0" collapsed="false">
      <c r="A8" s="2"/>
      <c r="B8" s="12" t="s">
        <v>62</v>
      </c>
      <c r="C8" s="22"/>
      <c r="D8" s="2"/>
      <c r="E8" s="2"/>
      <c r="F8" s="2"/>
    </row>
    <row r="9" customFormat="false" ht="33" hidden="false" customHeight="true" outlineLevel="0" collapsed="false">
      <c r="A9" s="2"/>
      <c r="B9" s="12" t="s">
        <v>63</v>
      </c>
      <c r="C9" s="22"/>
      <c r="D9" s="2"/>
      <c r="E9" s="4" t="s">
        <v>64</v>
      </c>
      <c r="F9" s="4"/>
    </row>
    <row r="10" customFormat="false" ht="33" hidden="false" customHeight="true" outlineLevel="0" collapsed="false">
      <c r="A10" s="2"/>
      <c r="B10" s="12" t="s">
        <v>65</v>
      </c>
      <c r="C10" s="22"/>
      <c r="D10" s="2"/>
      <c r="E10" s="4"/>
      <c r="F10" s="4"/>
    </row>
    <row r="11" customFormat="false" ht="33" hidden="false" customHeight="true" outlineLevel="0" collapsed="false">
      <c r="A11" s="2"/>
      <c r="B11" s="12" t="s">
        <v>66</v>
      </c>
      <c r="C11" s="23"/>
      <c r="D11" s="2"/>
      <c r="E11" s="4"/>
      <c r="F11" s="4"/>
    </row>
    <row r="12" customFormat="false" ht="30" hidden="false" customHeight="true" outlineLevel="0" collapsed="false">
      <c r="A12" s="2"/>
      <c r="B12" s="12" t="s">
        <v>67</v>
      </c>
      <c r="C12" s="22"/>
      <c r="D12" s="2"/>
      <c r="E12" s="2"/>
      <c r="F12" s="2"/>
    </row>
    <row r="13" customFormat="false" ht="30" hidden="false" customHeight="true" outlineLevel="0" collapsed="false">
      <c r="A13" s="2"/>
      <c r="B13" s="12" t="s">
        <v>68</v>
      </c>
      <c r="C13" s="22" t="s">
        <v>69</v>
      </c>
      <c r="D13" s="2"/>
      <c r="E13" s="4" t="s">
        <v>70</v>
      </c>
      <c r="F13" s="4"/>
    </row>
    <row r="14" customFormat="false" ht="30" hidden="false" customHeight="true" outlineLevel="0" collapsed="false">
      <c r="A14" s="2"/>
      <c r="B14" s="12" t="s">
        <v>71</v>
      </c>
      <c r="C14" s="23"/>
      <c r="D14" s="2"/>
      <c r="E14" s="4"/>
      <c r="F14" s="4"/>
    </row>
    <row r="15" customFormat="false" ht="30" hidden="false" customHeight="true" outlineLevel="0" collapsed="false">
      <c r="A15" s="2"/>
      <c r="B15" s="12" t="s">
        <v>72</v>
      </c>
      <c r="C15" s="22"/>
      <c r="D15" s="2"/>
      <c r="E15" s="4"/>
      <c r="F15" s="4"/>
    </row>
    <row r="16" customFormat="false" ht="15" hidden="false" customHeight="true" outlineLevel="0" collapsed="false">
      <c r="A16" s="2"/>
      <c r="B16" s="2"/>
      <c r="C16" s="2"/>
      <c r="D16" s="2"/>
      <c r="E16" s="2"/>
      <c r="F16" s="2"/>
    </row>
    <row r="17" customFormat="false" ht="15" hidden="false" customHeight="true" outlineLevel="0" collapsed="false">
      <c r="A17" s="2"/>
      <c r="B17" s="2"/>
      <c r="C17" s="2"/>
      <c r="D17" s="2"/>
      <c r="E17" s="2"/>
      <c r="F17" s="2"/>
    </row>
    <row r="18" customFormat="false" ht="24.75" hidden="false" customHeight="true" outlineLevel="0" collapsed="false">
      <c r="A18" s="2"/>
      <c r="B18" s="17" t="s">
        <v>73</v>
      </c>
      <c r="C18" s="17"/>
      <c r="D18" s="17"/>
      <c r="E18" s="17"/>
      <c r="F18" s="17"/>
    </row>
    <row r="19" customFormat="false" ht="33.75" hidden="false" customHeight="true" outlineLevel="0" collapsed="false">
      <c r="A19" s="2"/>
      <c r="B19" s="11" t="s">
        <v>74</v>
      </c>
      <c r="C19" s="11" t="s">
        <v>75</v>
      </c>
      <c r="D19" s="2"/>
      <c r="E19" s="2"/>
      <c r="F19" s="2"/>
    </row>
    <row r="20" customFormat="false" ht="33.75" hidden="false" customHeight="true" outlineLevel="0" collapsed="false">
      <c r="A20" s="2"/>
      <c r="B20" s="12" t="s">
        <v>76</v>
      </c>
      <c r="C20" s="12" t="s">
        <v>77</v>
      </c>
      <c r="D20" s="2"/>
      <c r="E20" s="4" t="s">
        <v>78</v>
      </c>
      <c r="F20" s="4"/>
    </row>
    <row r="21" customFormat="false" ht="33.75" hidden="false" customHeight="true" outlineLevel="0" collapsed="false">
      <c r="A21" s="2"/>
      <c r="B21" s="12" t="s">
        <v>79</v>
      </c>
      <c r="C21" s="22" t="s">
        <v>80</v>
      </c>
      <c r="D21" s="2"/>
      <c r="E21" s="4"/>
      <c r="F21" s="4"/>
    </row>
    <row r="22" customFormat="false" ht="33.75" hidden="false" customHeight="true" outlineLevel="0" collapsed="false">
      <c r="A22" s="2"/>
      <c r="B22" s="12" t="s">
        <v>81</v>
      </c>
      <c r="C22" s="22" t="s">
        <v>80</v>
      </c>
      <c r="D22" s="2"/>
      <c r="E22" s="4"/>
      <c r="F22" s="4"/>
    </row>
    <row r="23" customFormat="false" ht="33.75" hidden="false" customHeight="true" outlineLevel="0" collapsed="false">
      <c r="A23" s="2"/>
      <c r="B23" s="12" t="s">
        <v>82</v>
      </c>
      <c r="C23" s="22" t="s">
        <v>80</v>
      </c>
      <c r="D23" s="2"/>
      <c r="E23" s="4"/>
      <c r="F23" s="4"/>
    </row>
    <row r="24" customFormat="false" ht="33.75" hidden="false" customHeight="true" outlineLevel="0" collapsed="false">
      <c r="A24" s="2"/>
      <c r="B24" s="12" t="s">
        <v>83</v>
      </c>
      <c r="C24" s="22" t="s">
        <v>80</v>
      </c>
      <c r="D24" s="2"/>
      <c r="E24" s="4"/>
      <c r="F24" s="4"/>
    </row>
    <row r="25" customFormat="false" ht="36" hidden="false" customHeight="true" outlineLevel="0" collapsed="false">
      <c r="A25" s="2"/>
      <c r="B25" s="12" t="s">
        <v>84</v>
      </c>
      <c r="C25" s="22" t="s">
        <v>80</v>
      </c>
      <c r="D25" s="2"/>
      <c r="E25" s="2"/>
      <c r="F25" s="2"/>
    </row>
    <row r="26" customFormat="false" ht="33.75" hidden="false" customHeight="true" outlineLevel="0" collapsed="false">
      <c r="A26" s="2"/>
      <c r="B26" s="12" t="s">
        <v>85</v>
      </c>
      <c r="C26" s="22" t="s">
        <v>80</v>
      </c>
      <c r="D26" s="2"/>
      <c r="E26" s="4" t="s">
        <v>86</v>
      </c>
      <c r="F26" s="4"/>
    </row>
    <row r="27" customFormat="false" ht="33.75" hidden="false" customHeight="true" outlineLevel="0" collapsed="false">
      <c r="A27" s="2"/>
      <c r="B27" s="12" t="s">
        <v>87</v>
      </c>
      <c r="C27" s="22" t="s">
        <v>80</v>
      </c>
      <c r="D27" s="2"/>
      <c r="E27" s="4"/>
      <c r="F27" s="4"/>
    </row>
    <row r="28" customFormat="false" ht="33.75" hidden="false" customHeight="true" outlineLevel="0" collapsed="false">
      <c r="A28" s="2"/>
      <c r="B28" s="12" t="s">
        <v>88</v>
      </c>
      <c r="C28" s="22" t="s">
        <v>80</v>
      </c>
      <c r="D28" s="2"/>
      <c r="E28" s="4"/>
      <c r="F28" s="4"/>
    </row>
    <row r="29" customFormat="false" ht="33.75" hidden="false" customHeight="true" outlineLevel="0" collapsed="false">
      <c r="A29" s="2"/>
      <c r="B29" s="12" t="s">
        <v>89</v>
      </c>
      <c r="C29" s="22" t="s">
        <v>80</v>
      </c>
      <c r="D29" s="2"/>
      <c r="E29" s="4"/>
      <c r="F29" s="4"/>
    </row>
    <row r="30" customFormat="false" ht="33.75" hidden="false" customHeight="true" outlineLevel="0" collapsed="false">
      <c r="A30" s="2"/>
      <c r="B30" s="12" t="s">
        <v>90</v>
      </c>
      <c r="C30" s="22" t="s">
        <v>80</v>
      </c>
      <c r="D30" s="2"/>
      <c r="E30" s="4"/>
      <c r="F30" s="4"/>
    </row>
    <row r="31" customFormat="false" ht="36" hidden="false" customHeight="true" outlineLevel="0" collapsed="false">
      <c r="A31" s="2"/>
      <c r="B31" s="12" t="s">
        <v>91</v>
      </c>
      <c r="C31" s="22" t="s">
        <v>80</v>
      </c>
      <c r="D31" s="2"/>
      <c r="E31" s="2"/>
      <c r="F31" s="2"/>
    </row>
    <row r="32" customFormat="false" ht="36" hidden="false" customHeight="true" outlineLevel="0" collapsed="false">
      <c r="A32" s="2"/>
      <c r="B32" s="12" t="s">
        <v>92</v>
      </c>
      <c r="C32" s="22" t="s">
        <v>80</v>
      </c>
      <c r="D32" s="2"/>
      <c r="E32" s="2"/>
      <c r="F32" s="2"/>
    </row>
    <row r="33" customFormat="false" ht="36" hidden="false" customHeight="true" outlineLevel="0" collapsed="false">
      <c r="A33" s="2"/>
      <c r="B33" s="12" t="s">
        <v>93</v>
      </c>
      <c r="C33" s="22" t="s">
        <v>80</v>
      </c>
      <c r="D33" s="2"/>
      <c r="E33" s="2"/>
      <c r="F33" s="2"/>
    </row>
    <row r="34" customFormat="false" ht="15" hidden="false" customHeight="true" outlineLevel="0" collapsed="false">
      <c r="A34" s="2"/>
      <c r="B34" s="2"/>
      <c r="C34" s="2"/>
      <c r="D34" s="2"/>
      <c r="E34" s="2"/>
      <c r="F34" s="2"/>
    </row>
    <row r="35" customFormat="false" ht="15" hidden="false" customHeight="true" outlineLevel="0" collapsed="false">
      <c r="A35" s="2"/>
      <c r="B35" s="2"/>
      <c r="C35" s="2"/>
      <c r="D35" s="2"/>
      <c r="E35" s="2"/>
      <c r="F35" s="2"/>
    </row>
    <row r="36" customFormat="false" ht="24.75" hidden="false" customHeight="true" outlineLevel="0" collapsed="false">
      <c r="A36" s="2"/>
      <c r="B36" s="4" t="s">
        <v>94</v>
      </c>
      <c r="C36" s="4"/>
      <c r="D36" s="4"/>
      <c r="E36" s="4"/>
      <c r="F36" s="4"/>
    </row>
    <row r="37" customFormat="false" ht="24.75" hidden="false" customHeight="true" outlineLevel="0" collapsed="false">
      <c r="A37" s="2"/>
      <c r="B37" s="4"/>
      <c r="C37" s="4"/>
      <c r="D37" s="4"/>
      <c r="E37" s="4"/>
      <c r="F37" s="4"/>
    </row>
    <row r="38" customFormat="false" ht="24.75" hidden="false" customHeight="true" outlineLevel="0" collapsed="false">
      <c r="A38" s="2"/>
      <c r="B38" s="4"/>
      <c r="C38" s="4"/>
      <c r="D38" s="4"/>
      <c r="E38" s="4"/>
      <c r="F38" s="4"/>
    </row>
    <row r="39" customFormat="false" ht="15" hidden="false" customHeight="true" outlineLevel="0" collapsed="false">
      <c r="A39" s="2"/>
      <c r="B39" s="2"/>
      <c r="C39" s="2"/>
      <c r="D39" s="2"/>
      <c r="E39" s="2"/>
      <c r="F39" s="2"/>
    </row>
    <row r="40" customFormat="false" ht="27" hidden="false" customHeight="true" outlineLevel="0" collapsed="false">
      <c r="A40" s="2"/>
      <c r="B40" s="4" t="s">
        <v>95</v>
      </c>
      <c r="C40" s="4"/>
      <c r="D40" s="4"/>
      <c r="E40" s="4"/>
      <c r="F40" s="4"/>
    </row>
    <row r="41" customFormat="false" ht="27" hidden="false" customHeight="true" outlineLevel="0" collapsed="false">
      <c r="A41" s="2"/>
      <c r="B41" s="4"/>
      <c r="C41" s="4"/>
      <c r="D41" s="4"/>
      <c r="E41" s="4"/>
      <c r="F41" s="4"/>
    </row>
    <row r="42" customFormat="false" ht="27" hidden="false" customHeight="true" outlineLevel="0" collapsed="false">
      <c r="A42" s="2"/>
      <c r="B42" s="4"/>
      <c r="C42" s="4"/>
      <c r="D42" s="4"/>
      <c r="E42" s="4"/>
      <c r="F42" s="4"/>
    </row>
    <row r="43" customFormat="false" ht="27" hidden="false" customHeight="true" outlineLevel="0" collapsed="false">
      <c r="A43" s="2"/>
      <c r="B43" s="4"/>
      <c r="C43" s="4"/>
      <c r="D43" s="4"/>
      <c r="E43" s="4"/>
      <c r="F43" s="4"/>
    </row>
    <row r="44" customFormat="false" ht="15" hidden="false" customHeight="true" outlineLevel="0" collapsed="false">
      <c r="A44" s="2"/>
      <c r="B44" s="2"/>
      <c r="C44" s="2"/>
      <c r="D44" s="2"/>
      <c r="E44" s="2"/>
      <c r="F44" s="2"/>
    </row>
    <row r="45" customFormat="false" ht="15" hidden="false" customHeight="true" outlineLevel="0" collapsed="false">
      <c r="A45" s="2"/>
      <c r="B45" s="2"/>
      <c r="C45" s="2"/>
      <c r="D45" s="2"/>
      <c r="E45" s="2"/>
      <c r="F45" s="2"/>
    </row>
    <row r="46" customFormat="false" ht="15" hidden="false" customHeight="true" outlineLevel="0" collapsed="false">
      <c r="A46" s="2"/>
      <c r="B46" s="2"/>
      <c r="C46" s="2"/>
      <c r="D46" s="2"/>
      <c r="E46" s="2"/>
      <c r="F46" s="2"/>
    </row>
    <row r="47" customFormat="false" ht="15" hidden="false" customHeight="true" outlineLevel="0" collapsed="false">
      <c r="A47" s="2"/>
      <c r="B47" s="2"/>
      <c r="C47" s="2"/>
      <c r="D47" s="2"/>
      <c r="E47" s="2"/>
      <c r="F47" s="2"/>
    </row>
    <row r="48" customFormat="false" ht="15" hidden="false" customHeight="true" outlineLevel="0" collapsed="false">
      <c r="A48" s="2"/>
      <c r="B48" s="2"/>
      <c r="C48" s="2"/>
      <c r="D48" s="2"/>
      <c r="E48" s="2"/>
      <c r="F48" s="2"/>
    </row>
    <row r="49" customFormat="false" ht="15" hidden="false" customHeight="true" outlineLevel="0" collapsed="false">
      <c r="A49" s="2"/>
      <c r="B49" s="2"/>
      <c r="C49" s="2"/>
      <c r="D49" s="2"/>
      <c r="E49" s="2"/>
      <c r="F49" s="2"/>
    </row>
  </sheetData>
  <mergeCells count="10">
    <mergeCell ref="B2:F2"/>
    <mergeCell ref="B3:F3"/>
    <mergeCell ref="E5:F7"/>
    <mergeCell ref="E9:F11"/>
    <mergeCell ref="E13:F15"/>
    <mergeCell ref="B18:F18"/>
    <mergeCell ref="E20:F24"/>
    <mergeCell ref="E26:F30"/>
    <mergeCell ref="B36:F38"/>
    <mergeCell ref="B40:F43"/>
  </mergeCells>
  <dataValidations count="14">
    <dataValidation allowBlank="false" errorStyle="stop" operator="between" showDropDown="false" showErrorMessage="false" showInputMessage="false" sqref="C13" type="list">
      <formula1>"Complet,Essentiel"</formula1>
      <formula2>0</formula2>
    </dataValidation>
    <dataValidation allowBlank="false" errorStyle="stop" operator="between" showDropDown="false" showErrorMessage="false" showInputMessage="false" sqref="C21" type="list">
      <formula1>"Oui,Non,À confirmer"</formula1>
      <formula2>0</formula2>
    </dataValidation>
    <dataValidation allowBlank="false" errorStyle="stop" operator="between" showDropDown="false" showErrorMessage="false" showInputMessage="false" sqref="C22" type="list">
      <formula1>"Oui,Non,À confirmer"</formula1>
      <formula2>0</formula2>
    </dataValidation>
    <dataValidation allowBlank="false" errorStyle="stop" operator="between" showDropDown="false" showErrorMessage="false" showInputMessage="false" sqref="C23" type="list">
      <formula1>"Oui,Non,À confirmer"</formula1>
      <formula2>0</formula2>
    </dataValidation>
    <dataValidation allowBlank="false" errorStyle="stop" operator="between" showDropDown="false" showErrorMessage="false" showInputMessage="false" sqref="C24" type="list">
      <formula1>"Oui,Non,À confirmer"</formula1>
      <formula2>0</formula2>
    </dataValidation>
    <dataValidation allowBlank="false" errorStyle="stop" operator="between" showDropDown="false" showErrorMessage="false" showInputMessage="false" sqref="C25" type="list">
      <formula1>"Oui,Non,À confirmer"</formula1>
      <formula2>0</formula2>
    </dataValidation>
    <dataValidation allowBlank="false" errorStyle="stop" operator="between" showDropDown="false" showErrorMessage="false" showInputMessage="false" sqref="C26" type="list">
      <formula1>"Oui,Non,À confirmer"</formula1>
      <formula2>0</formula2>
    </dataValidation>
    <dataValidation allowBlank="false" errorStyle="stop" operator="between" showDropDown="false" showErrorMessage="false" showInputMessage="false" sqref="C27" type="list">
      <formula1>"Oui,Non,À confirmer"</formula1>
      <formula2>0</formula2>
    </dataValidation>
    <dataValidation allowBlank="false" errorStyle="stop" operator="between" showDropDown="false" showErrorMessage="false" showInputMessage="false" sqref="C28" type="list">
      <formula1>"Oui,Non,À confirmer"</formula1>
      <formula2>0</formula2>
    </dataValidation>
    <dataValidation allowBlank="false" errorStyle="stop" operator="between" showDropDown="false" showErrorMessage="false" showInputMessage="false" sqref="C29" type="list">
      <formula1>"Oui,Non,À confirmer"</formula1>
      <formula2>0</formula2>
    </dataValidation>
    <dataValidation allowBlank="false" errorStyle="stop" operator="between" showDropDown="false" showErrorMessage="false" showInputMessage="false" sqref="C30" type="list">
      <formula1>"Oui,Non,À confirmer"</formula1>
      <formula2>0</formula2>
    </dataValidation>
    <dataValidation allowBlank="false" errorStyle="stop" operator="between" showDropDown="false" showErrorMessage="false" showInputMessage="false" sqref="C31" type="list">
      <formula1>"Oui,Non,À confirmer"</formula1>
      <formula2>0</formula2>
    </dataValidation>
    <dataValidation allowBlank="false" errorStyle="stop" operator="between" showDropDown="false" showErrorMessage="false" showInputMessage="false" sqref="C32" type="list">
      <formula1>"Oui,Non,À confirmer"</formula1>
      <formula2>0</formula2>
    </dataValidation>
    <dataValidation allowBlank="false" errorStyle="stop" operator="between" showDropDown="false" showErrorMessage="false" showInputMessage="false" sqref="C33" type="list">
      <formula1>"Oui,Non,À confirmer"</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22344"/>
    <pageSetUpPr fitToPage="false"/>
  </sheetPr>
  <dimension ref="A1:X1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27"/>
    <col collapsed="false" customWidth="true" hidden="false" outlineLevel="0" max="3" min="3" style="1" width="64"/>
    <col collapsed="false" customWidth="true" hidden="false" outlineLevel="0" max="4" min="4" style="1" width="66"/>
    <col collapsed="false" customWidth="true" hidden="false" outlineLevel="0" max="5" min="5" style="1" width="27"/>
    <col collapsed="false" customWidth="true" hidden="false" outlineLevel="0" max="6" min="6" style="1" width="45"/>
    <col collapsed="false" customWidth="true" hidden="false" outlineLevel="0" max="7" min="7" style="1" width="15"/>
    <col collapsed="false" customWidth="true" hidden="false" outlineLevel="0" max="8" min="8" style="1" width="36"/>
    <col collapsed="false" customWidth="true" hidden="false" outlineLevel="0" max="9" min="9" style="1" width="20"/>
    <col collapsed="false" customWidth="true" hidden="false" outlineLevel="0" max="10" min="10" style="1" width="12"/>
    <col collapsed="false" customWidth="true" hidden="false" outlineLevel="0" max="11" min="11" style="1" width="9"/>
    <col collapsed="false" customWidth="true" hidden="false" outlineLevel="0" max="13" min="12" style="1" width="11"/>
    <col collapsed="false" customWidth="true" hidden="false" outlineLevel="0" max="14" min="14" style="1" width="14"/>
    <col collapsed="false" customWidth="true" hidden="false" outlineLevel="0" max="18" min="15" style="1" width="12"/>
    <col collapsed="false" customWidth="true" hidden="false" outlineLevel="0" max="19" min="19" style="1" width="10"/>
    <col collapsed="false" customWidth="true" hidden="false" outlineLevel="0" max="23" min="20" style="1" width="11"/>
    <col collapsed="false" customWidth="true" hidden="false" outlineLevel="0" max="24" min="24" style="1" width="24"/>
  </cols>
  <sheetData>
    <row r="1" customFormat="false" ht="15" hidden="false" customHeight="true" outlineLevel="0" collapsed="false">
      <c r="A1" s="2"/>
      <c r="B1" s="2"/>
      <c r="C1" s="2"/>
      <c r="D1" s="2"/>
      <c r="E1" s="2"/>
      <c r="F1" s="2"/>
      <c r="G1" s="2"/>
      <c r="H1" s="2"/>
      <c r="I1" s="2"/>
      <c r="J1" s="2"/>
      <c r="K1" s="2"/>
      <c r="L1" s="2"/>
      <c r="M1" s="2"/>
      <c r="N1" s="2"/>
      <c r="O1" s="2"/>
      <c r="P1" s="2"/>
      <c r="Q1" s="2"/>
      <c r="R1" s="2"/>
      <c r="S1" s="2"/>
      <c r="T1" s="2"/>
      <c r="U1" s="2"/>
      <c r="V1" s="2"/>
      <c r="W1" s="2"/>
      <c r="X1" s="2"/>
    </row>
    <row r="2" customFormat="false" ht="30" hidden="false" customHeight="true" outlineLevel="0" collapsed="false">
      <c r="A2" s="3" t="s">
        <v>96</v>
      </c>
      <c r="B2" s="3"/>
      <c r="C2" s="3"/>
      <c r="D2" s="3"/>
      <c r="E2" s="3"/>
      <c r="F2" s="3"/>
      <c r="G2" s="3"/>
      <c r="H2" s="3"/>
      <c r="I2" s="2"/>
      <c r="J2" s="2"/>
      <c r="K2" s="2"/>
      <c r="L2" s="2"/>
      <c r="M2" s="2"/>
      <c r="N2" s="2"/>
      <c r="O2" s="2"/>
      <c r="P2" s="2"/>
      <c r="Q2" s="2"/>
      <c r="R2" s="2"/>
      <c r="S2" s="2"/>
      <c r="T2" s="2"/>
      <c r="U2" s="2"/>
      <c r="V2" s="2"/>
      <c r="W2" s="2"/>
      <c r="X2" s="2"/>
    </row>
    <row r="3" customFormat="false" ht="30" hidden="false" customHeight="true" outlineLevel="0" collapsed="false">
      <c r="A3" s="4" t="s">
        <v>97</v>
      </c>
      <c r="B3" s="4"/>
      <c r="C3" s="4"/>
      <c r="D3" s="4"/>
      <c r="E3" s="4"/>
      <c r="F3" s="4"/>
      <c r="G3" s="4"/>
      <c r="H3" s="4"/>
      <c r="I3" s="2"/>
      <c r="J3" s="2"/>
      <c r="K3" s="2"/>
      <c r="L3" s="2"/>
      <c r="M3" s="2"/>
      <c r="N3" s="2"/>
      <c r="O3" s="2"/>
      <c r="P3" s="2"/>
      <c r="Q3" s="2"/>
      <c r="R3" s="2"/>
      <c r="S3" s="2"/>
      <c r="T3" s="2"/>
      <c r="U3" s="2"/>
      <c r="V3" s="2"/>
      <c r="W3" s="2"/>
      <c r="X3" s="2"/>
    </row>
    <row r="4" customFormat="false" ht="30" hidden="false" customHeight="true" outlineLevel="0" collapsed="false">
      <c r="A4" s="4" t="s">
        <v>98</v>
      </c>
      <c r="B4" s="4"/>
      <c r="C4" s="4"/>
      <c r="D4" s="4"/>
      <c r="E4" s="4"/>
      <c r="F4" s="4"/>
      <c r="G4" s="4"/>
      <c r="H4" s="4"/>
      <c r="I4" s="2"/>
      <c r="J4" s="2"/>
      <c r="K4" s="2"/>
      <c r="L4" s="2"/>
      <c r="M4" s="2"/>
      <c r="N4" s="2"/>
      <c r="O4" s="2"/>
      <c r="P4" s="2"/>
      <c r="Q4" s="2"/>
      <c r="R4" s="2"/>
      <c r="S4" s="2"/>
      <c r="T4" s="2"/>
      <c r="U4" s="2"/>
      <c r="V4" s="2"/>
      <c r="W4" s="2"/>
      <c r="X4" s="2"/>
    </row>
    <row r="5" customFormat="false" ht="15" hidden="false" customHeight="true" outlineLevel="0" collapsed="false">
      <c r="A5" s="2"/>
      <c r="B5" s="2"/>
      <c r="C5" s="2"/>
      <c r="D5" s="2"/>
      <c r="E5" s="2"/>
      <c r="F5" s="2"/>
      <c r="G5" s="2"/>
      <c r="H5" s="2"/>
      <c r="I5" s="2"/>
      <c r="J5" s="2"/>
      <c r="K5" s="2"/>
      <c r="L5" s="2"/>
      <c r="M5" s="2"/>
      <c r="N5" s="2"/>
      <c r="O5" s="2"/>
      <c r="P5" s="2"/>
      <c r="Q5" s="2"/>
      <c r="R5" s="2"/>
      <c r="S5" s="2"/>
      <c r="T5" s="2"/>
      <c r="U5" s="2"/>
      <c r="V5" s="2"/>
      <c r="W5" s="2"/>
      <c r="X5" s="2"/>
    </row>
    <row r="6" customFormat="false" ht="15" hidden="false" customHeight="true" outlineLevel="0" collapsed="false">
      <c r="A6" s="2"/>
      <c r="B6" s="2"/>
      <c r="C6" s="2"/>
      <c r="D6" s="2"/>
      <c r="E6" s="2"/>
      <c r="F6" s="2"/>
      <c r="G6" s="2"/>
      <c r="H6" s="2"/>
      <c r="I6" s="2"/>
      <c r="J6" s="2"/>
      <c r="K6" s="2"/>
      <c r="L6" s="2"/>
      <c r="M6" s="2"/>
      <c r="N6" s="2"/>
      <c r="O6" s="2"/>
      <c r="P6" s="2"/>
      <c r="Q6" s="2"/>
      <c r="R6" s="2"/>
      <c r="S6" s="2"/>
      <c r="T6" s="2"/>
      <c r="U6" s="2"/>
      <c r="V6" s="2"/>
      <c r="W6" s="2"/>
      <c r="X6" s="2"/>
    </row>
    <row r="7" customFormat="false" ht="33.75" hidden="false" customHeight="true" outlineLevel="0" collapsed="false">
      <c r="A7" s="11" t="s">
        <v>35</v>
      </c>
      <c r="B7" s="11" t="s">
        <v>11</v>
      </c>
      <c r="C7" s="11" t="s">
        <v>99</v>
      </c>
      <c r="D7" s="11" t="s">
        <v>100</v>
      </c>
      <c r="E7" s="11" t="s">
        <v>101</v>
      </c>
      <c r="F7" s="11" t="s">
        <v>102</v>
      </c>
      <c r="G7" s="11" t="s">
        <v>103</v>
      </c>
      <c r="H7" s="11" t="s">
        <v>104</v>
      </c>
      <c r="I7" s="11" t="s">
        <v>105</v>
      </c>
      <c r="J7" s="11" t="s">
        <v>106</v>
      </c>
      <c r="K7" s="11" t="s">
        <v>107</v>
      </c>
      <c r="L7" s="11" t="s">
        <v>108</v>
      </c>
      <c r="M7" s="11" t="s">
        <v>109</v>
      </c>
      <c r="N7" s="11" t="s">
        <v>74</v>
      </c>
      <c r="O7" s="11" t="s">
        <v>110</v>
      </c>
      <c r="P7" s="11" t="s">
        <v>15</v>
      </c>
      <c r="Q7" s="11" t="s">
        <v>16</v>
      </c>
      <c r="R7" s="11" t="s">
        <v>36</v>
      </c>
      <c r="S7" s="11" t="s">
        <v>111</v>
      </c>
      <c r="T7" s="11" t="s">
        <v>112</v>
      </c>
      <c r="U7" s="11" t="s">
        <v>113</v>
      </c>
      <c r="V7" s="11" t="s">
        <v>114</v>
      </c>
      <c r="W7" s="11" t="s">
        <v>3</v>
      </c>
      <c r="X7" s="11" t="s">
        <v>115</v>
      </c>
    </row>
    <row r="8" customFormat="false" ht="85.5" hidden="false" customHeight="true" outlineLevel="0" collapsed="false">
      <c r="A8" s="12" t="s">
        <v>116</v>
      </c>
      <c r="B8" s="12" t="s">
        <v>18</v>
      </c>
      <c r="C8" s="12" t="s">
        <v>117</v>
      </c>
      <c r="D8" s="12" t="s">
        <v>118</v>
      </c>
      <c r="E8" s="22"/>
      <c r="F8" s="22"/>
      <c r="G8" s="22" t="s">
        <v>119</v>
      </c>
      <c r="H8" s="22"/>
      <c r="I8" s="12" t="str">
        <f aca="false">IF(AND(Entreprise!$C$13="Essentiel",M8=0),"Hors parcours",IF(AND(G8="Exclure",H8&lt;&gt;""),"Non",IF(G8="Inclure","Oui",IF(AND(G8="Auto",Entreprise!$C$20="Non"),"Non","Oui"))))</f>
        <v>Oui</v>
      </c>
      <c r="J8" s="14" t="n">
        <f aca="false">IF(T8=0,0,VLOOKUP(E8,Barèmes!$B$6:$C$11,2,FALSE()))</f>
        <v>0</v>
      </c>
      <c r="K8" s="24" t="n">
        <v>3</v>
      </c>
      <c r="L8" s="2" t="n">
        <v>0</v>
      </c>
      <c r="M8" s="2" t="n">
        <v>1</v>
      </c>
      <c r="N8" s="2" t="s">
        <v>120</v>
      </c>
      <c r="O8" s="16" t="n">
        <f aca="false">P8*J8</f>
        <v>0</v>
      </c>
      <c r="P8" s="16" t="n">
        <f aca="false">IF(I8="Oui",K8,0)</f>
        <v>3</v>
      </c>
      <c r="Q8" s="16" t="n">
        <f aca="false">P8-O8</f>
        <v>3</v>
      </c>
      <c r="R8" s="2" t="str">
        <f aca="false">IF(I8&lt;&gt;"Oui","Hors périmètre",IF(Q8=0,"Maintenir",IF(U8=1,"P1",IF(K8=3,"P2",IF(K8=2,"P3","P4")))))</f>
        <v>P2</v>
      </c>
      <c r="S8" s="2" t="n">
        <f aca="false">IF(OR(I8&lt;&gt;"Oui",Q8=0),0,COUNTIFS($R$8:$R$119,"&lt;"&amp;R8,$Q$8:$Q$119,"&gt;0")+COUNTIFS($R$8:$R$119,R8,$Q$8:$Q$119,"&gt;"&amp;Q8)+COUNTIFS($R$8:R8,R8,$Q$8:Q8,Q8))</f>
        <v>18</v>
      </c>
      <c r="T8" s="2" t="n">
        <f aca="false">IF(AND(I8="Oui",E8&lt;&gt;"",COUNTIFS(Barèmes!$B$6:$B$11,E8)=1),1,0)</f>
        <v>0</v>
      </c>
      <c r="U8" s="2" t="n">
        <f aca="false">IF(AND(I8="Oui",L8=1,J8&lt;Barèmes!$G$6),1,0)</f>
        <v>0</v>
      </c>
      <c r="V8" s="2" t="n">
        <f aca="false">IF(AND(I8="Oui",E8="Je ne sais pas"),1,0)</f>
        <v>0</v>
      </c>
      <c r="W8" s="2" t="n">
        <f aca="false">T8</f>
        <v>0</v>
      </c>
      <c r="X8" s="12" t="str">
        <f aca="false">IF(AND(G8="Exclure",H8=""),"Justifier l’exclusion",IF(AND(E8&lt;&gt;"",T8=0,I8="Oui"),"Réponse invalide",IF(AND(I8="Oui",G8="Auto",Entreprise!$C$20="À confirmer"),"Confirmer l’usage",IF(AND(E8="4 · Vérifié et suivi",F8="",I8="Oui"),"Preuve à référencer",""))))</f>
        <v/>
      </c>
    </row>
    <row r="9" customFormat="false" ht="85.5" hidden="false" customHeight="true" outlineLevel="0" collapsed="false">
      <c r="A9" s="12" t="s">
        <v>121</v>
      </c>
      <c r="B9" s="12" t="s">
        <v>18</v>
      </c>
      <c r="C9" s="12" t="s">
        <v>122</v>
      </c>
      <c r="D9" s="12" t="s">
        <v>123</v>
      </c>
      <c r="E9" s="22"/>
      <c r="F9" s="22"/>
      <c r="G9" s="22" t="s">
        <v>119</v>
      </c>
      <c r="H9" s="22"/>
      <c r="I9" s="12" t="str">
        <f aca="false">IF(AND(Entreprise!$C$13="Essentiel",M9=0),"Hors parcours",IF(AND(G9="Exclure",H9&lt;&gt;""),"Non",IF(G9="Inclure","Oui",IF(AND(G9="Auto",Entreprise!$C$20="Non"),"Non","Oui"))))</f>
        <v>Oui</v>
      </c>
      <c r="J9" s="14" t="n">
        <f aca="false">IF(T9=0,0,VLOOKUP(E9,Barèmes!$B$6:$C$11,2,FALSE()))</f>
        <v>0</v>
      </c>
      <c r="K9" s="24" t="n">
        <v>3</v>
      </c>
      <c r="L9" s="2" t="n">
        <v>0</v>
      </c>
      <c r="M9" s="2" t="n">
        <v>1</v>
      </c>
      <c r="N9" s="2" t="s">
        <v>120</v>
      </c>
      <c r="O9" s="16" t="n">
        <f aca="false">P9*J9</f>
        <v>0</v>
      </c>
      <c r="P9" s="16" t="n">
        <f aca="false">IF(I9="Oui",K9,0)</f>
        <v>3</v>
      </c>
      <c r="Q9" s="16" t="n">
        <f aca="false">P9-O9</f>
        <v>3</v>
      </c>
      <c r="R9" s="2" t="str">
        <f aca="false">IF(I9&lt;&gt;"Oui","Hors périmètre",IF(Q9=0,"Maintenir",IF(U9=1,"P1",IF(K9=3,"P2",IF(K9=2,"P3","P4")))))</f>
        <v>P2</v>
      </c>
      <c r="S9" s="2" t="n">
        <f aca="false">IF(OR(I9&lt;&gt;"Oui",Q9=0),0,COUNTIFS($R$8:$R$119,"&lt;"&amp;R9,$Q$8:$Q$119,"&gt;0")+COUNTIFS($R$8:$R$119,R9,$Q$8:$Q$119,"&gt;"&amp;Q9)+COUNTIFS($R$8:R9,R9,$Q$8:Q9,Q9))</f>
        <v>19</v>
      </c>
      <c r="T9" s="2" t="n">
        <f aca="false">IF(AND(I9="Oui",E9&lt;&gt;"",COUNTIFS(Barèmes!$B$6:$B$11,E9)=1),1,0)</f>
        <v>0</v>
      </c>
      <c r="U9" s="2" t="n">
        <f aca="false">IF(AND(I9="Oui",L9=1,J9&lt;Barèmes!$G$6),1,0)</f>
        <v>0</v>
      </c>
      <c r="V9" s="2" t="n">
        <f aca="false">IF(AND(I9="Oui",E9="Je ne sais pas"),1,0)</f>
        <v>0</v>
      </c>
      <c r="W9" s="2" t="n">
        <f aca="false">T9</f>
        <v>0</v>
      </c>
      <c r="X9" s="12" t="str">
        <f aca="false">IF(AND(G9="Exclure",H9=""),"Justifier l’exclusion",IF(AND(E9&lt;&gt;"",T9=0,I9="Oui"),"Réponse invalide",IF(AND(I9="Oui",G9="Auto",Entreprise!$C$20="À confirmer"),"Confirmer l’usage",IF(AND(E9="4 · Vérifié et suivi",F9="",I9="Oui"),"Preuve à référencer",""))))</f>
        <v/>
      </c>
    </row>
    <row r="10" customFormat="false" ht="85.5" hidden="false" customHeight="true" outlineLevel="0" collapsed="false">
      <c r="A10" s="12" t="s">
        <v>124</v>
      </c>
      <c r="B10" s="12" t="s">
        <v>18</v>
      </c>
      <c r="C10" s="12" t="s">
        <v>125</v>
      </c>
      <c r="D10" s="12" t="s">
        <v>126</v>
      </c>
      <c r="E10" s="22"/>
      <c r="F10" s="22"/>
      <c r="G10" s="22" t="s">
        <v>119</v>
      </c>
      <c r="H10" s="22"/>
      <c r="I10" s="12" t="str">
        <f aca="false">IF(AND(Entreprise!$C$13="Essentiel",M10=0),"Hors parcours",IF(AND(G10="Exclure",H10&lt;&gt;""),"Non",IF(G10="Inclure","Oui",IF(AND(G10="Auto",Entreprise!$C$20="Non"),"Non","Oui"))))</f>
        <v>Oui</v>
      </c>
      <c r="J10" s="14" t="n">
        <f aca="false">IF(T10=0,0,VLOOKUP(E10,Barèmes!$B$6:$C$11,2,FALSE()))</f>
        <v>0</v>
      </c>
      <c r="K10" s="24" t="n">
        <v>2</v>
      </c>
      <c r="L10" s="2" t="n">
        <v>0</v>
      </c>
      <c r="M10" s="2" t="n">
        <v>0</v>
      </c>
      <c r="N10" s="2" t="s">
        <v>120</v>
      </c>
      <c r="O10" s="16" t="n">
        <f aca="false">P10*J10</f>
        <v>0</v>
      </c>
      <c r="P10" s="16" t="n">
        <f aca="false">IF(I10="Oui",K10,0)</f>
        <v>2</v>
      </c>
      <c r="Q10" s="16" t="n">
        <f aca="false">P10-O10</f>
        <v>2</v>
      </c>
      <c r="R10" s="2" t="str">
        <f aca="false">IF(I10&lt;&gt;"Oui","Hors périmètre",IF(Q10=0,"Maintenir",IF(U10=1,"P1",IF(K10=3,"P2",IF(K10=2,"P3","P4")))))</f>
        <v>P3</v>
      </c>
      <c r="S10" s="2" t="n">
        <f aca="false">IF(OR(I10&lt;&gt;"Oui",Q10=0),0,COUNTIFS($R$8:$R$119,"&lt;"&amp;R10,$Q$8:$Q$119,"&gt;0")+COUNTIFS($R$8:$R$119,R10,$Q$8:$Q$119,"&gt;"&amp;Q10)+COUNTIFS($R$8:R10,R10,$Q$8:Q10,Q10))</f>
        <v>42</v>
      </c>
      <c r="T10" s="2" t="n">
        <f aca="false">IF(AND(I10="Oui",E10&lt;&gt;"",COUNTIFS(Barèmes!$B$6:$B$11,E10)=1),1,0)</f>
        <v>0</v>
      </c>
      <c r="U10" s="2" t="n">
        <f aca="false">IF(AND(I10="Oui",L10=1,J10&lt;Barèmes!$G$6),1,0)</f>
        <v>0</v>
      </c>
      <c r="V10" s="2" t="n">
        <f aca="false">IF(AND(I10="Oui",E10="Je ne sais pas"),1,0)</f>
        <v>0</v>
      </c>
      <c r="W10" s="2" t="n">
        <f aca="false">T10</f>
        <v>0</v>
      </c>
      <c r="X10" s="12" t="str">
        <f aca="false">IF(AND(G10="Exclure",H10=""),"Justifier l’exclusion",IF(AND(E10&lt;&gt;"",T10=0,I10="Oui"),"Réponse invalide",IF(AND(I10="Oui",G10="Auto",Entreprise!$C$20="À confirmer"),"Confirmer l’usage",IF(AND(E10="4 · Vérifié et suivi",F10="",I10="Oui"),"Preuve à référencer",""))))</f>
        <v/>
      </c>
    </row>
    <row r="11" customFormat="false" ht="85.5" hidden="false" customHeight="true" outlineLevel="0" collapsed="false">
      <c r="A11" s="12" t="s">
        <v>127</v>
      </c>
      <c r="B11" s="12" t="s">
        <v>18</v>
      </c>
      <c r="C11" s="12" t="s">
        <v>128</v>
      </c>
      <c r="D11" s="12" t="s">
        <v>129</v>
      </c>
      <c r="E11" s="22"/>
      <c r="F11" s="22"/>
      <c r="G11" s="22" t="s">
        <v>119</v>
      </c>
      <c r="H11" s="22"/>
      <c r="I11" s="12" t="str">
        <f aca="false">IF(AND(Entreprise!$C$13="Essentiel",M11=0),"Hors parcours",IF(AND(G11="Exclure",H11&lt;&gt;""),"Non",IF(G11="Inclure","Oui",IF(AND(G11="Auto",Entreprise!$C$20="Non"),"Non","Oui"))))</f>
        <v>Oui</v>
      </c>
      <c r="J11" s="14" t="n">
        <f aca="false">IF(T11=0,0,VLOOKUP(E11,Barèmes!$B$6:$C$11,2,FALSE()))</f>
        <v>0</v>
      </c>
      <c r="K11" s="24" t="n">
        <v>2</v>
      </c>
      <c r="L11" s="2" t="n">
        <v>0</v>
      </c>
      <c r="M11" s="2" t="n">
        <v>0</v>
      </c>
      <c r="N11" s="2" t="s">
        <v>120</v>
      </c>
      <c r="O11" s="16" t="n">
        <f aca="false">P11*J11</f>
        <v>0</v>
      </c>
      <c r="P11" s="16" t="n">
        <f aca="false">IF(I11="Oui",K11,0)</f>
        <v>2</v>
      </c>
      <c r="Q11" s="16" t="n">
        <f aca="false">P11-O11</f>
        <v>2</v>
      </c>
      <c r="R11" s="2" t="str">
        <f aca="false">IF(I11&lt;&gt;"Oui","Hors périmètre",IF(Q11=0,"Maintenir",IF(U11=1,"P1",IF(K11=3,"P2",IF(K11=2,"P3","P4")))))</f>
        <v>P3</v>
      </c>
      <c r="S11" s="2" t="n">
        <f aca="false">IF(OR(I11&lt;&gt;"Oui",Q11=0),0,COUNTIFS($R$8:$R$119,"&lt;"&amp;R11,$Q$8:$Q$119,"&gt;0")+COUNTIFS($R$8:$R$119,R11,$Q$8:$Q$119,"&gt;"&amp;Q11)+COUNTIFS($R$8:R11,R11,$Q$8:Q11,Q11))</f>
        <v>43</v>
      </c>
      <c r="T11" s="2" t="n">
        <f aca="false">IF(AND(I11="Oui",E11&lt;&gt;"",COUNTIFS(Barèmes!$B$6:$B$11,E11)=1),1,0)</f>
        <v>0</v>
      </c>
      <c r="U11" s="2" t="n">
        <f aca="false">IF(AND(I11="Oui",L11=1,J11&lt;Barèmes!$G$6),1,0)</f>
        <v>0</v>
      </c>
      <c r="V11" s="2" t="n">
        <f aca="false">IF(AND(I11="Oui",E11="Je ne sais pas"),1,0)</f>
        <v>0</v>
      </c>
      <c r="W11" s="2" t="n">
        <f aca="false">T11</f>
        <v>0</v>
      </c>
      <c r="X11" s="12" t="str">
        <f aca="false">IF(AND(G11="Exclure",H11=""),"Justifier l’exclusion",IF(AND(E11&lt;&gt;"",T11=0,I11="Oui"),"Réponse invalide",IF(AND(I11="Oui",G11="Auto",Entreprise!$C$20="À confirmer"),"Confirmer l’usage",IF(AND(E11="4 · Vérifié et suivi",F11="",I11="Oui"),"Preuve à référencer",""))))</f>
        <v/>
      </c>
    </row>
    <row r="12" customFormat="false" ht="85.5" hidden="false" customHeight="true" outlineLevel="0" collapsed="false">
      <c r="A12" s="12" t="s">
        <v>130</v>
      </c>
      <c r="B12" s="12" t="s">
        <v>18</v>
      </c>
      <c r="C12" s="12" t="s">
        <v>131</v>
      </c>
      <c r="D12" s="12" t="s">
        <v>132</v>
      </c>
      <c r="E12" s="22"/>
      <c r="F12" s="22"/>
      <c r="G12" s="22" t="s">
        <v>119</v>
      </c>
      <c r="H12" s="22"/>
      <c r="I12" s="12" t="str">
        <f aca="false">IF(AND(Entreprise!$C$13="Essentiel",M12=0),"Hors parcours",IF(AND(G12="Exclure",H12&lt;&gt;""),"Non",IF(G12="Inclure","Oui",IF(AND(G12="Auto",Entreprise!$C$20="Non"),"Non","Oui"))))</f>
        <v>Oui</v>
      </c>
      <c r="J12" s="14" t="n">
        <f aca="false">IF(T12=0,0,VLOOKUP(E12,Barèmes!$B$6:$C$11,2,FALSE()))</f>
        <v>0</v>
      </c>
      <c r="K12" s="24" t="n">
        <v>2</v>
      </c>
      <c r="L12" s="2" t="n">
        <v>0</v>
      </c>
      <c r="M12" s="2" t="n">
        <v>0</v>
      </c>
      <c r="N12" s="2" t="s">
        <v>120</v>
      </c>
      <c r="O12" s="16" t="n">
        <f aca="false">P12*J12</f>
        <v>0</v>
      </c>
      <c r="P12" s="16" t="n">
        <f aca="false">IF(I12="Oui",K12,0)</f>
        <v>2</v>
      </c>
      <c r="Q12" s="16" t="n">
        <f aca="false">P12-O12</f>
        <v>2</v>
      </c>
      <c r="R12" s="2" t="str">
        <f aca="false">IF(I12&lt;&gt;"Oui","Hors périmètre",IF(Q12=0,"Maintenir",IF(U12=1,"P1",IF(K12=3,"P2",IF(K12=2,"P3","P4")))))</f>
        <v>P3</v>
      </c>
      <c r="S12" s="2" t="n">
        <f aca="false">IF(OR(I12&lt;&gt;"Oui",Q12=0),0,COUNTIFS($R$8:$R$119,"&lt;"&amp;R12,$Q$8:$Q$119,"&gt;0")+COUNTIFS($R$8:$R$119,R12,$Q$8:$Q$119,"&gt;"&amp;Q12)+COUNTIFS($R$8:R12,R12,$Q$8:Q12,Q12))</f>
        <v>44</v>
      </c>
      <c r="T12" s="2" t="n">
        <f aca="false">IF(AND(I12="Oui",E12&lt;&gt;"",COUNTIFS(Barèmes!$B$6:$B$11,E12)=1),1,0)</f>
        <v>0</v>
      </c>
      <c r="U12" s="2" t="n">
        <f aca="false">IF(AND(I12="Oui",L12=1,J12&lt;Barèmes!$G$6),1,0)</f>
        <v>0</v>
      </c>
      <c r="V12" s="2" t="n">
        <f aca="false">IF(AND(I12="Oui",E12="Je ne sais pas"),1,0)</f>
        <v>0</v>
      </c>
      <c r="W12" s="2" t="n">
        <f aca="false">T12</f>
        <v>0</v>
      </c>
      <c r="X12" s="12" t="str">
        <f aca="false">IF(AND(G12="Exclure",H12=""),"Justifier l’exclusion",IF(AND(E12&lt;&gt;"",T12=0,I12="Oui"),"Réponse invalide",IF(AND(I12="Oui",G12="Auto",Entreprise!$C$20="À confirmer"),"Confirmer l’usage",IF(AND(E12="4 · Vérifié et suivi",F12="",I12="Oui"),"Preuve à référencer",""))))</f>
        <v/>
      </c>
    </row>
    <row r="13" customFormat="false" ht="85.5" hidden="false" customHeight="true" outlineLevel="0" collapsed="false">
      <c r="A13" s="12" t="s">
        <v>133</v>
      </c>
      <c r="B13" s="12" t="s">
        <v>18</v>
      </c>
      <c r="C13" s="12" t="s">
        <v>134</v>
      </c>
      <c r="D13" s="12" t="s">
        <v>135</v>
      </c>
      <c r="E13" s="22"/>
      <c r="F13" s="22"/>
      <c r="G13" s="22" t="s">
        <v>119</v>
      </c>
      <c r="H13" s="22"/>
      <c r="I13" s="12" t="str">
        <f aca="false">IF(AND(Entreprise!$C$13="Essentiel",M13=0),"Hors parcours",IF(AND(G13="Exclure",H13&lt;&gt;""),"Non",IF(G13="Inclure","Oui",IF(AND(G13="Auto",Entreprise!$C$20="Non"),"Non","Oui"))))</f>
        <v>Oui</v>
      </c>
      <c r="J13" s="14" t="n">
        <f aca="false">IF(T13=0,0,VLOOKUP(E13,Barèmes!$B$6:$C$11,2,FALSE()))</f>
        <v>0</v>
      </c>
      <c r="K13" s="24" t="n">
        <v>2</v>
      </c>
      <c r="L13" s="2" t="n">
        <v>0</v>
      </c>
      <c r="M13" s="2" t="n">
        <v>0</v>
      </c>
      <c r="N13" s="2" t="s">
        <v>120</v>
      </c>
      <c r="O13" s="16" t="n">
        <f aca="false">P13*J13</f>
        <v>0</v>
      </c>
      <c r="P13" s="16" t="n">
        <f aca="false">IF(I13="Oui",K13,0)</f>
        <v>2</v>
      </c>
      <c r="Q13" s="16" t="n">
        <f aca="false">P13-O13</f>
        <v>2</v>
      </c>
      <c r="R13" s="2" t="str">
        <f aca="false">IF(I13&lt;&gt;"Oui","Hors périmètre",IF(Q13=0,"Maintenir",IF(U13=1,"P1",IF(K13=3,"P2",IF(K13=2,"P3","P4")))))</f>
        <v>P3</v>
      </c>
      <c r="S13" s="2" t="n">
        <f aca="false">IF(OR(I13&lt;&gt;"Oui",Q13=0),0,COUNTIFS($R$8:$R$119,"&lt;"&amp;R13,$Q$8:$Q$119,"&gt;0")+COUNTIFS($R$8:$R$119,R13,$Q$8:$Q$119,"&gt;"&amp;Q13)+COUNTIFS($R$8:R13,R13,$Q$8:Q13,Q13))</f>
        <v>45</v>
      </c>
      <c r="T13" s="2" t="n">
        <f aca="false">IF(AND(I13="Oui",E13&lt;&gt;"",COUNTIFS(Barèmes!$B$6:$B$11,E13)=1),1,0)</f>
        <v>0</v>
      </c>
      <c r="U13" s="2" t="n">
        <f aca="false">IF(AND(I13="Oui",L13=1,J13&lt;Barèmes!$G$6),1,0)</f>
        <v>0</v>
      </c>
      <c r="V13" s="2" t="n">
        <f aca="false">IF(AND(I13="Oui",E13="Je ne sais pas"),1,0)</f>
        <v>0</v>
      </c>
      <c r="W13" s="2" t="n">
        <f aca="false">T13</f>
        <v>0</v>
      </c>
      <c r="X13" s="12" t="str">
        <f aca="false">IF(AND(G13="Exclure",H13=""),"Justifier l’exclusion",IF(AND(E13&lt;&gt;"",T13=0,I13="Oui"),"Réponse invalide",IF(AND(I13="Oui",G13="Auto",Entreprise!$C$20="À confirmer"),"Confirmer l’usage",IF(AND(E13="4 · Vérifié et suivi",F13="",I13="Oui"),"Preuve à référencer",""))))</f>
        <v/>
      </c>
    </row>
    <row r="14" customFormat="false" ht="85.5" hidden="false" customHeight="true" outlineLevel="0" collapsed="false">
      <c r="A14" s="12" t="s">
        <v>136</v>
      </c>
      <c r="B14" s="12" t="s">
        <v>18</v>
      </c>
      <c r="C14" s="12" t="s">
        <v>137</v>
      </c>
      <c r="D14" s="12" t="s">
        <v>138</v>
      </c>
      <c r="E14" s="22"/>
      <c r="F14" s="22"/>
      <c r="G14" s="22" t="s">
        <v>119</v>
      </c>
      <c r="H14" s="22"/>
      <c r="I14" s="12" t="str">
        <f aca="false">IF(AND(Entreprise!$C$13="Essentiel",M14=0),"Hors parcours",IF(AND(G14="Exclure",H14&lt;&gt;""),"Non",IF(G14="Inclure","Oui",IF(AND(G14="Auto",Entreprise!$C$20="Non"),"Non","Oui"))))</f>
        <v>Oui</v>
      </c>
      <c r="J14" s="14" t="n">
        <f aca="false">IF(T14=0,0,VLOOKUP(E14,Barèmes!$B$6:$C$11,2,FALSE()))</f>
        <v>0</v>
      </c>
      <c r="K14" s="24" t="n">
        <v>1</v>
      </c>
      <c r="L14" s="2" t="n">
        <v>0</v>
      </c>
      <c r="M14" s="2" t="n">
        <v>0</v>
      </c>
      <c r="N14" s="2" t="s">
        <v>120</v>
      </c>
      <c r="O14" s="16" t="n">
        <f aca="false">P14*J14</f>
        <v>0</v>
      </c>
      <c r="P14" s="16" t="n">
        <f aca="false">IF(I14="Oui",K14,0)</f>
        <v>1</v>
      </c>
      <c r="Q14" s="16" t="n">
        <f aca="false">P14-O14</f>
        <v>1</v>
      </c>
      <c r="R14" s="2" t="str">
        <f aca="false">IF(I14&lt;&gt;"Oui","Hors périmètre",IF(Q14=0,"Maintenir",IF(U14=1,"P1",IF(K14=3,"P2",IF(K14=2,"P3","P4")))))</f>
        <v>P4</v>
      </c>
      <c r="S14" s="2" t="n">
        <f aca="false">IF(OR(I14&lt;&gt;"Oui",Q14=0),0,COUNTIFS($R$8:$R$119,"&lt;"&amp;R14,$Q$8:$Q$119,"&gt;0")+COUNTIFS($R$8:$R$119,R14,$Q$8:$Q$119,"&gt;"&amp;Q14)+COUNTIFS($R$8:R14,R14,$Q$8:Q14,Q14))</f>
        <v>104</v>
      </c>
      <c r="T14" s="2" t="n">
        <f aca="false">IF(AND(I14="Oui",E14&lt;&gt;"",COUNTIFS(Barèmes!$B$6:$B$11,E14)=1),1,0)</f>
        <v>0</v>
      </c>
      <c r="U14" s="2" t="n">
        <f aca="false">IF(AND(I14="Oui",L14=1,J14&lt;Barèmes!$G$6),1,0)</f>
        <v>0</v>
      </c>
      <c r="V14" s="2" t="n">
        <f aca="false">IF(AND(I14="Oui",E14="Je ne sais pas"),1,0)</f>
        <v>0</v>
      </c>
      <c r="W14" s="2" t="n">
        <f aca="false">T14</f>
        <v>0</v>
      </c>
      <c r="X14" s="12" t="str">
        <f aca="false">IF(AND(G14="Exclure",H14=""),"Justifier l’exclusion",IF(AND(E14&lt;&gt;"",T14=0,I14="Oui"),"Réponse invalide",IF(AND(I14="Oui",G14="Auto",Entreprise!$C$20="À confirmer"),"Confirmer l’usage",IF(AND(E14="4 · Vérifié et suivi",F14="",I14="Oui"),"Preuve à référencer",""))))</f>
        <v/>
      </c>
    </row>
    <row r="15" customFormat="false" ht="85.5" hidden="false" customHeight="true" outlineLevel="0" collapsed="false">
      <c r="A15" s="12" t="s">
        <v>139</v>
      </c>
      <c r="B15" s="12" t="s">
        <v>18</v>
      </c>
      <c r="C15" s="12" t="s">
        <v>140</v>
      </c>
      <c r="D15" s="12" t="s">
        <v>141</v>
      </c>
      <c r="E15" s="22"/>
      <c r="F15" s="22"/>
      <c r="G15" s="22" t="s">
        <v>119</v>
      </c>
      <c r="H15" s="22"/>
      <c r="I15" s="12" t="str">
        <f aca="false">IF(AND(Entreprise!$C$13="Essentiel",M15=0),"Hors parcours",IF(AND(G15="Exclure",H15&lt;&gt;""),"Non",IF(G15="Inclure","Oui",IF(AND(G15="Auto",Entreprise!$C$20="Non"),"Non","Oui"))))</f>
        <v>Oui</v>
      </c>
      <c r="J15" s="14" t="n">
        <f aca="false">IF(T15=0,0,VLOOKUP(E15,Barèmes!$B$6:$C$11,2,FALSE()))</f>
        <v>0</v>
      </c>
      <c r="K15" s="24" t="n">
        <v>1</v>
      </c>
      <c r="L15" s="2" t="n">
        <v>0</v>
      </c>
      <c r="M15" s="2" t="n">
        <v>0</v>
      </c>
      <c r="N15" s="2" t="s">
        <v>120</v>
      </c>
      <c r="O15" s="16" t="n">
        <f aca="false">P15*J15</f>
        <v>0</v>
      </c>
      <c r="P15" s="16" t="n">
        <f aca="false">IF(I15="Oui",K15,0)</f>
        <v>1</v>
      </c>
      <c r="Q15" s="16" t="n">
        <f aca="false">P15-O15</f>
        <v>1</v>
      </c>
      <c r="R15" s="2" t="str">
        <f aca="false">IF(I15&lt;&gt;"Oui","Hors périmètre",IF(Q15=0,"Maintenir",IF(U15=1,"P1",IF(K15=3,"P2",IF(K15=2,"P3","P4")))))</f>
        <v>P4</v>
      </c>
      <c r="S15" s="2" t="n">
        <f aca="false">IF(OR(I15&lt;&gt;"Oui",Q15=0),0,COUNTIFS($R$8:$R$119,"&lt;"&amp;R15,$Q$8:$Q$119,"&gt;0")+COUNTIFS($R$8:$R$119,R15,$Q$8:$Q$119,"&gt;"&amp;Q15)+COUNTIFS($R$8:R15,R15,$Q$8:Q15,Q15))</f>
        <v>105</v>
      </c>
      <c r="T15" s="2" t="n">
        <f aca="false">IF(AND(I15="Oui",E15&lt;&gt;"",COUNTIFS(Barèmes!$B$6:$B$11,E15)=1),1,0)</f>
        <v>0</v>
      </c>
      <c r="U15" s="2" t="n">
        <f aca="false">IF(AND(I15="Oui",L15=1,J15&lt;Barèmes!$G$6),1,0)</f>
        <v>0</v>
      </c>
      <c r="V15" s="2" t="n">
        <f aca="false">IF(AND(I15="Oui",E15="Je ne sais pas"),1,0)</f>
        <v>0</v>
      </c>
      <c r="W15" s="2" t="n">
        <f aca="false">T15</f>
        <v>0</v>
      </c>
      <c r="X15" s="12" t="str">
        <f aca="false">IF(AND(G15="Exclure",H15=""),"Justifier l’exclusion",IF(AND(E15&lt;&gt;"",T15=0,I15="Oui"),"Réponse invalide",IF(AND(I15="Oui",G15="Auto",Entreprise!$C$20="À confirmer"),"Confirmer l’usage",IF(AND(E15="4 · Vérifié et suivi",F15="",I15="Oui"),"Preuve à référencer",""))))</f>
        <v/>
      </c>
    </row>
    <row r="16" customFormat="false" ht="85.5" hidden="false" customHeight="true" outlineLevel="0" collapsed="false">
      <c r="A16" s="12" t="s">
        <v>142</v>
      </c>
      <c r="B16" s="12" t="s">
        <v>19</v>
      </c>
      <c r="C16" s="12" t="s">
        <v>143</v>
      </c>
      <c r="D16" s="12" t="s">
        <v>144</v>
      </c>
      <c r="E16" s="22"/>
      <c r="F16" s="22"/>
      <c r="G16" s="22" t="s">
        <v>119</v>
      </c>
      <c r="H16" s="22"/>
      <c r="I16" s="12" t="str">
        <f aca="false">IF(AND(Entreprise!$C$13="Essentiel",M16=0),"Hors parcours",IF(AND(G16="Exclure",H16&lt;&gt;""),"Non",IF(G16="Inclure","Oui",IF(AND(G16="Auto",Entreprise!$C$20="Non"),"Non","Oui"))))</f>
        <v>Oui</v>
      </c>
      <c r="J16" s="14" t="n">
        <f aca="false">IF(T16=0,0,VLOOKUP(E16,Barèmes!$B$6:$C$11,2,FALSE()))</f>
        <v>0</v>
      </c>
      <c r="K16" s="24" t="n">
        <v>3</v>
      </c>
      <c r="L16" s="2" t="n">
        <v>0</v>
      </c>
      <c r="M16" s="2" t="n">
        <v>1</v>
      </c>
      <c r="N16" s="2" t="s">
        <v>120</v>
      </c>
      <c r="O16" s="16" t="n">
        <f aca="false">P16*J16</f>
        <v>0</v>
      </c>
      <c r="P16" s="16" t="n">
        <f aca="false">IF(I16="Oui",K16,0)</f>
        <v>3</v>
      </c>
      <c r="Q16" s="16" t="n">
        <f aca="false">P16-O16</f>
        <v>3</v>
      </c>
      <c r="R16" s="2" t="str">
        <f aca="false">IF(I16&lt;&gt;"Oui","Hors périmètre",IF(Q16=0,"Maintenir",IF(U16=1,"P1",IF(K16=3,"P2",IF(K16=2,"P3","P4")))))</f>
        <v>P2</v>
      </c>
      <c r="S16" s="2" t="n">
        <f aca="false">IF(OR(I16&lt;&gt;"Oui",Q16=0),0,COUNTIFS($R$8:$R$119,"&lt;"&amp;R16,$Q$8:$Q$119,"&gt;0")+COUNTIFS($R$8:$R$119,R16,$Q$8:$Q$119,"&gt;"&amp;Q16)+COUNTIFS($R$8:R16,R16,$Q$8:Q16,Q16))</f>
        <v>20</v>
      </c>
      <c r="T16" s="2" t="n">
        <f aca="false">IF(AND(I16="Oui",E16&lt;&gt;"",COUNTIFS(Barèmes!$B$6:$B$11,E16)=1),1,0)</f>
        <v>0</v>
      </c>
      <c r="U16" s="2" t="n">
        <f aca="false">IF(AND(I16="Oui",L16=1,J16&lt;Barèmes!$G$6),1,0)</f>
        <v>0</v>
      </c>
      <c r="V16" s="2" t="n">
        <f aca="false">IF(AND(I16="Oui",E16="Je ne sais pas"),1,0)</f>
        <v>0</v>
      </c>
      <c r="W16" s="2" t="n">
        <f aca="false">T16</f>
        <v>0</v>
      </c>
      <c r="X16" s="12" t="str">
        <f aca="false">IF(AND(G16="Exclure",H16=""),"Justifier l’exclusion",IF(AND(E16&lt;&gt;"",T16=0,I16="Oui"),"Réponse invalide",IF(AND(I16="Oui",G16="Auto",Entreprise!$C$20="À confirmer"),"Confirmer l’usage",IF(AND(E16="4 · Vérifié et suivi",F16="",I16="Oui"),"Preuve à référencer",""))))</f>
        <v/>
      </c>
    </row>
    <row r="17" customFormat="false" ht="85.5" hidden="false" customHeight="true" outlineLevel="0" collapsed="false">
      <c r="A17" s="12" t="s">
        <v>145</v>
      </c>
      <c r="B17" s="12" t="s">
        <v>19</v>
      </c>
      <c r="C17" s="12" t="s">
        <v>146</v>
      </c>
      <c r="D17" s="12" t="s">
        <v>147</v>
      </c>
      <c r="E17" s="22"/>
      <c r="F17" s="22"/>
      <c r="G17" s="22" t="s">
        <v>119</v>
      </c>
      <c r="H17" s="22"/>
      <c r="I17" s="12" t="str">
        <f aca="false">IF(AND(Entreprise!$C$13="Essentiel",M17=0),"Hors parcours",IF(AND(G17="Exclure",H17&lt;&gt;""),"Non",IF(G17="Inclure","Oui",IF(AND(G17="Auto",Entreprise!$C$20="Non"),"Non","Oui"))))</f>
        <v>Oui</v>
      </c>
      <c r="J17" s="14" t="n">
        <f aca="false">IF(T17=0,0,VLOOKUP(E17,Barèmes!$B$6:$C$11,2,FALSE()))</f>
        <v>0</v>
      </c>
      <c r="K17" s="24" t="n">
        <v>3</v>
      </c>
      <c r="L17" s="2" t="n">
        <v>0</v>
      </c>
      <c r="M17" s="2" t="n">
        <v>1</v>
      </c>
      <c r="N17" s="2" t="s">
        <v>120</v>
      </c>
      <c r="O17" s="16" t="n">
        <f aca="false">P17*J17</f>
        <v>0</v>
      </c>
      <c r="P17" s="16" t="n">
        <f aca="false">IF(I17="Oui",K17,0)</f>
        <v>3</v>
      </c>
      <c r="Q17" s="16" t="n">
        <f aca="false">P17-O17</f>
        <v>3</v>
      </c>
      <c r="R17" s="2" t="str">
        <f aca="false">IF(I17&lt;&gt;"Oui","Hors périmètre",IF(Q17=0,"Maintenir",IF(U17=1,"P1",IF(K17=3,"P2",IF(K17=2,"P3","P4")))))</f>
        <v>P2</v>
      </c>
      <c r="S17" s="2" t="n">
        <f aca="false">IF(OR(I17&lt;&gt;"Oui",Q17=0),0,COUNTIFS($R$8:$R$119,"&lt;"&amp;R17,$Q$8:$Q$119,"&gt;0")+COUNTIFS($R$8:$R$119,R17,$Q$8:$Q$119,"&gt;"&amp;Q17)+COUNTIFS($R$8:R17,R17,$Q$8:Q17,Q17))</f>
        <v>21</v>
      </c>
      <c r="T17" s="2" t="n">
        <f aca="false">IF(AND(I17="Oui",E17&lt;&gt;"",COUNTIFS(Barèmes!$B$6:$B$11,E17)=1),1,0)</f>
        <v>0</v>
      </c>
      <c r="U17" s="2" t="n">
        <f aca="false">IF(AND(I17="Oui",L17=1,J17&lt;Barèmes!$G$6),1,0)</f>
        <v>0</v>
      </c>
      <c r="V17" s="2" t="n">
        <f aca="false">IF(AND(I17="Oui",E17="Je ne sais pas"),1,0)</f>
        <v>0</v>
      </c>
      <c r="W17" s="2" t="n">
        <f aca="false">T17</f>
        <v>0</v>
      </c>
      <c r="X17" s="12" t="str">
        <f aca="false">IF(AND(G17="Exclure",H17=""),"Justifier l’exclusion",IF(AND(E17&lt;&gt;"",T17=0,I17="Oui"),"Réponse invalide",IF(AND(I17="Oui",G17="Auto",Entreprise!$C$20="À confirmer"),"Confirmer l’usage",IF(AND(E17="4 · Vérifié et suivi",F17="",I17="Oui"),"Preuve à référencer",""))))</f>
        <v/>
      </c>
    </row>
    <row r="18" customFormat="false" ht="85.5" hidden="false" customHeight="true" outlineLevel="0" collapsed="false">
      <c r="A18" s="12" t="s">
        <v>148</v>
      </c>
      <c r="B18" s="12" t="s">
        <v>19</v>
      </c>
      <c r="C18" s="12" t="s">
        <v>149</v>
      </c>
      <c r="D18" s="12" t="s">
        <v>150</v>
      </c>
      <c r="E18" s="22"/>
      <c r="F18" s="22"/>
      <c r="G18" s="22" t="s">
        <v>119</v>
      </c>
      <c r="H18" s="22"/>
      <c r="I18" s="12" t="str">
        <f aca="false">IF(AND(Entreprise!$C$13="Essentiel",M18=0),"Hors parcours",IF(AND(G18="Exclure",H18&lt;&gt;""),"Non",IF(G18="Inclure","Oui",IF(AND(G18="Auto",Entreprise!$C$20="Non"),"Non","Oui"))))</f>
        <v>Oui</v>
      </c>
      <c r="J18" s="14" t="n">
        <f aca="false">IF(T18=0,0,VLOOKUP(E18,Barèmes!$B$6:$C$11,2,FALSE()))</f>
        <v>0</v>
      </c>
      <c r="K18" s="24" t="n">
        <v>2</v>
      </c>
      <c r="L18" s="2" t="n">
        <v>0</v>
      </c>
      <c r="M18" s="2" t="n">
        <v>0</v>
      </c>
      <c r="N18" s="2" t="s">
        <v>120</v>
      </c>
      <c r="O18" s="16" t="n">
        <f aca="false">P18*J18</f>
        <v>0</v>
      </c>
      <c r="P18" s="16" t="n">
        <f aca="false">IF(I18="Oui",K18,0)</f>
        <v>2</v>
      </c>
      <c r="Q18" s="16" t="n">
        <f aca="false">P18-O18</f>
        <v>2</v>
      </c>
      <c r="R18" s="2" t="str">
        <f aca="false">IF(I18&lt;&gt;"Oui","Hors périmètre",IF(Q18=0,"Maintenir",IF(U18=1,"P1",IF(K18=3,"P2",IF(K18=2,"P3","P4")))))</f>
        <v>P3</v>
      </c>
      <c r="S18" s="2" t="n">
        <f aca="false">IF(OR(I18&lt;&gt;"Oui",Q18=0),0,COUNTIFS($R$8:$R$119,"&lt;"&amp;R18,$Q$8:$Q$119,"&gt;0")+COUNTIFS($R$8:$R$119,R18,$Q$8:$Q$119,"&gt;"&amp;Q18)+COUNTIFS($R$8:R18,R18,$Q$8:Q18,Q18))</f>
        <v>46</v>
      </c>
      <c r="T18" s="2" t="n">
        <f aca="false">IF(AND(I18="Oui",E18&lt;&gt;"",COUNTIFS(Barèmes!$B$6:$B$11,E18)=1),1,0)</f>
        <v>0</v>
      </c>
      <c r="U18" s="2" t="n">
        <f aca="false">IF(AND(I18="Oui",L18=1,J18&lt;Barèmes!$G$6),1,0)</f>
        <v>0</v>
      </c>
      <c r="V18" s="2" t="n">
        <f aca="false">IF(AND(I18="Oui",E18="Je ne sais pas"),1,0)</f>
        <v>0</v>
      </c>
      <c r="W18" s="2" t="n">
        <f aca="false">T18</f>
        <v>0</v>
      </c>
      <c r="X18" s="12" t="str">
        <f aca="false">IF(AND(G18="Exclure",H18=""),"Justifier l’exclusion",IF(AND(E18&lt;&gt;"",T18=0,I18="Oui"),"Réponse invalide",IF(AND(I18="Oui",G18="Auto",Entreprise!$C$20="À confirmer"),"Confirmer l’usage",IF(AND(E18="4 · Vérifié et suivi",F18="",I18="Oui"),"Preuve à référencer",""))))</f>
        <v/>
      </c>
    </row>
    <row r="19" customFormat="false" ht="85.5" hidden="false" customHeight="true" outlineLevel="0" collapsed="false">
      <c r="A19" s="12" t="s">
        <v>151</v>
      </c>
      <c r="B19" s="12" t="s">
        <v>19</v>
      </c>
      <c r="C19" s="12" t="s">
        <v>152</v>
      </c>
      <c r="D19" s="12" t="s">
        <v>153</v>
      </c>
      <c r="E19" s="22"/>
      <c r="F19" s="22"/>
      <c r="G19" s="22" t="s">
        <v>119</v>
      </c>
      <c r="H19" s="22"/>
      <c r="I19" s="12" t="str">
        <f aca="false">IF(AND(Entreprise!$C$13="Essentiel",M19=0),"Hors parcours",IF(AND(G19="Exclure",H19&lt;&gt;""),"Non",IF(G19="Inclure","Oui",IF(AND(G19="Auto",Entreprise!$C$20="Non"),"Non","Oui"))))</f>
        <v>Oui</v>
      </c>
      <c r="J19" s="14" t="n">
        <f aca="false">IF(T19=0,0,VLOOKUP(E19,Barèmes!$B$6:$C$11,2,FALSE()))</f>
        <v>0</v>
      </c>
      <c r="K19" s="24" t="n">
        <v>2</v>
      </c>
      <c r="L19" s="2" t="n">
        <v>0</v>
      </c>
      <c r="M19" s="2" t="n">
        <v>0</v>
      </c>
      <c r="N19" s="2" t="s">
        <v>120</v>
      </c>
      <c r="O19" s="16" t="n">
        <f aca="false">P19*J19</f>
        <v>0</v>
      </c>
      <c r="P19" s="16" t="n">
        <f aca="false">IF(I19="Oui",K19,0)</f>
        <v>2</v>
      </c>
      <c r="Q19" s="16" t="n">
        <f aca="false">P19-O19</f>
        <v>2</v>
      </c>
      <c r="R19" s="2" t="str">
        <f aca="false">IF(I19&lt;&gt;"Oui","Hors périmètre",IF(Q19=0,"Maintenir",IF(U19=1,"P1",IF(K19=3,"P2",IF(K19=2,"P3","P4")))))</f>
        <v>P3</v>
      </c>
      <c r="S19" s="2" t="n">
        <f aca="false">IF(OR(I19&lt;&gt;"Oui",Q19=0),0,COUNTIFS($R$8:$R$119,"&lt;"&amp;R19,$Q$8:$Q$119,"&gt;0")+COUNTIFS($R$8:$R$119,R19,$Q$8:$Q$119,"&gt;"&amp;Q19)+COUNTIFS($R$8:R19,R19,$Q$8:Q19,Q19))</f>
        <v>47</v>
      </c>
      <c r="T19" s="2" t="n">
        <f aca="false">IF(AND(I19="Oui",E19&lt;&gt;"",COUNTIFS(Barèmes!$B$6:$B$11,E19)=1),1,0)</f>
        <v>0</v>
      </c>
      <c r="U19" s="2" t="n">
        <f aca="false">IF(AND(I19="Oui",L19=1,J19&lt;Barèmes!$G$6),1,0)</f>
        <v>0</v>
      </c>
      <c r="V19" s="2" t="n">
        <f aca="false">IF(AND(I19="Oui",E19="Je ne sais pas"),1,0)</f>
        <v>0</v>
      </c>
      <c r="W19" s="2" t="n">
        <f aca="false">T19</f>
        <v>0</v>
      </c>
      <c r="X19" s="12" t="str">
        <f aca="false">IF(AND(G19="Exclure",H19=""),"Justifier l’exclusion",IF(AND(E19&lt;&gt;"",T19=0,I19="Oui"),"Réponse invalide",IF(AND(I19="Oui",G19="Auto",Entreprise!$C$20="À confirmer"),"Confirmer l’usage",IF(AND(E19="4 · Vérifié et suivi",F19="",I19="Oui"),"Preuve à référencer",""))))</f>
        <v/>
      </c>
    </row>
    <row r="20" customFormat="false" ht="85.5" hidden="false" customHeight="true" outlineLevel="0" collapsed="false">
      <c r="A20" s="12" t="s">
        <v>154</v>
      </c>
      <c r="B20" s="12" t="s">
        <v>19</v>
      </c>
      <c r="C20" s="12" t="s">
        <v>155</v>
      </c>
      <c r="D20" s="12" t="s">
        <v>156</v>
      </c>
      <c r="E20" s="22"/>
      <c r="F20" s="22"/>
      <c r="G20" s="22" t="s">
        <v>119</v>
      </c>
      <c r="H20" s="22"/>
      <c r="I20" s="12" t="str">
        <f aca="false">IF(AND(Entreprise!$C$13="Essentiel",M20=0),"Hors parcours",IF(AND(G20="Exclure",H20&lt;&gt;""),"Non",IF(G20="Inclure","Oui",IF(AND(G20="Auto",Entreprise!$C$29="Non"),"Non","Oui"))))</f>
        <v>Oui</v>
      </c>
      <c r="J20" s="14" t="n">
        <f aca="false">IF(T20=0,0,VLOOKUP(E20,Barèmes!$B$6:$C$11,2,FALSE()))</f>
        <v>0</v>
      </c>
      <c r="K20" s="24" t="n">
        <v>2</v>
      </c>
      <c r="L20" s="2" t="n">
        <v>0</v>
      </c>
      <c r="M20" s="2" t="n">
        <v>0</v>
      </c>
      <c r="N20" s="2" t="s">
        <v>157</v>
      </c>
      <c r="O20" s="16" t="n">
        <f aca="false">P20*J20</f>
        <v>0</v>
      </c>
      <c r="P20" s="16" t="n">
        <f aca="false">IF(I20="Oui",K20,0)</f>
        <v>2</v>
      </c>
      <c r="Q20" s="16" t="n">
        <f aca="false">P20-O20</f>
        <v>2</v>
      </c>
      <c r="R20" s="2" t="str">
        <f aca="false">IF(I20&lt;&gt;"Oui","Hors périmètre",IF(Q20=0,"Maintenir",IF(U20=1,"P1",IF(K20=3,"P2",IF(K20=2,"P3","P4")))))</f>
        <v>P3</v>
      </c>
      <c r="S20" s="2" t="n">
        <f aca="false">IF(OR(I20&lt;&gt;"Oui",Q20=0),0,COUNTIFS($R$8:$R$119,"&lt;"&amp;R20,$Q$8:$Q$119,"&gt;0")+COUNTIFS($R$8:$R$119,R20,$Q$8:$Q$119,"&gt;"&amp;Q20)+COUNTIFS($R$8:R20,R20,$Q$8:Q20,Q20))</f>
        <v>48</v>
      </c>
      <c r="T20" s="2" t="n">
        <f aca="false">IF(AND(I20="Oui",E20&lt;&gt;"",COUNTIFS(Barèmes!$B$6:$B$11,E20)=1),1,0)</f>
        <v>0</v>
      </c>
      <c r="U20" s="2" t="n">
        <f aca="false">IF(AND(I20="Oui",L20=1,J20&lt;Barèmes!$G$6),1,0)</f>
        <v>0</v>
      </c>
      <c r="V20" s="2" t="n">
        <f aca="false">IF(AND(I20="Oui",E20="Je ne sais pas"),1,0)</f>
        <v>0</v>
      </c>
      <c r="W20" s="2" t="n">
        <f aca="false">T20</f>
        <v>0</v>
      </c>
      <c r="X20" s="12" t="str">
        <f aca="false">IF(AND(G20="Exclure",H20=""),"Justifier l’exclusion",IF(AND(E20&lt;&gt;"",T20=0,I20="Oui"),"Réponse invalide",IF(AND(I20="Oui",G20="Auto",Entreprise!$C$29="À confirmer"),"Confirmer l’usage",IF(AND(E20="4 · Vérifié et suivi",F20="",I20="Oui"),"Preuve à référencer",""))))</f>
        <v>Confirmer l’usage</v>
      </c>
    </row>
    <row r="21" customFormat="false" ht="85.5" hidden="false" customHeight="true" outlineLevel="0" collapsed="false">
      <c r="A21" s="12" t="s">
        <v>158</v>
      </c>
      <c r="B21" s="12" t="s">
        <v>19</v>
      </c>
      <c r="C21" s="12" t="s">
        <v>159</v>
      </c>
      <c r="D21" s="12" t="s">
        <v>160</v>
      </c>
      <c r="E21" s="22"/>
      <c r="F21" s="22"/>
      <c r="G21" s="22" t="s">
        <v>119</v>
      </c>
      <c r="H21" s="22"/>
      <c r="I21" s="12" t="str">
        <f aca="false">IF(AND(Entreprise!$C$13="Essentiel",M21=0),"Hors parcours",IF(AND(G21="Exclure",H21&lt;&gt;""),"Non",IF(G21="Inclure","Oui",IF(AND(G21="Auto",Entreprise!$C$27="Non"),"Non","Oui"))))</f>
        <v>Oui</v>
      </c>
      <c r="J21" s="14" t="n">
        <f aca="false">IF(T21=0,0,VLOOKUP(E21,Barèmes!$B$6:$C$11,2,FALSE()))</f>
        <v>0</v>
      </c>
      <c r="K21" s="24" t="n">
        <v>2</v>
      </c>
      <c r="L21" s="2" t="n">
        <v>0</v>
      </c>
      <c r="M21" s="2" t="n">
        <v>0</v>
      </c>
      <c r="N21" s="2" t="s">
        <v>161</v>
      </c>
      <c r="O21" s="16" t="n">
        <f aca="false">P21*J21</f>
        <v>0</v>
      </c>
      <c r="P21" s="16" t="n">
        <f aca="false">IF(I21="Oui",K21,0)</f>
        <v>2</v>
      </c>
      <c r="Q21" s="16" t="n">
        <f aca="false">P21-O21</f>
        <v>2</v>
      </c>
      <c r="R21" s="2" t="str">
        <f aca="false">IF(I21&lt;&gt;"Oui","Hors périmètre",IF(Q21=0,"Maintenir",IF(U21=1,"P1",IF(K21=3,"P2",IF(K21=2,"P3","P4")))))</f>
        <v>P3</v>
      </c>
      <c r="S21" s="2" t="n">
        <f aca="false">IF(OR(I21&lt;&gt;"Oui",Q21=0),0,COUNTIFS($R$8:$R$119,"&lt;"&amp;R21,$Q$8:$Q$119,"&gt;0")+COUNTIFS($R$8:$R$119,R21,$Q$8:$Q$119,"&gt;"&amp;Q21)+COUNTIFS($R$8:R21,R21,$Q$8:Q21,Q21))</f>
        <v>49</v>
      </c>
      <c r="T21" s="2" t="n">
        <f aca="false">IF(AND(I21="Oui",E21&lt;&gt;"",COUNTIFS(Barèmes!$B$6:$B$11,E21)=1),1,0)</f>
        <v>0</v>
      </c>
      <c r="U21" s="2" t="n">
        <f aca="false">IF(AND(I21="Oui",L21=1,J21&lt;Barèmes!$G$6),1,0)</f>
        <v>0</v>
      </c>
      <c r="V21" s="2" t="n">
        <f aca="false">IF(AND(I21="Oui",E21="Je ne sais pas"),1,0)</f>
        <v>0</v>
      </c>
      <c r="W21" s="2" t="n">
        <f aca="false">T21</f>
        <v>0</v>
      </c>
      <c r="X21" s="12" t="str">
        <f aca="false">IF(AND(G21="Exclure",H21=""),"Justifier l’exclusion",IF(AND(E21&lt;&gt;"",T21=0,I21="Oui"),"Réponse invalide",IF(AND(I21="Oui",G21="Auto",Entreprise!$C$27="À confirmer"),"Confirmer l’usage",IF(AND(E21="4 · Vérifié et suivi",F21="",I21="Oui"),"Preuve à référencer",""))))</f>
        <v>Confirmer l’usage</v>
      </c>
    </row>
    <row r="22" customFormat="false" ht="85.5" hidden="false" customHeight="true" outlineLevel="0" collapsed="false">
      <c r="A22" s="12" t="s">
        <v>162</v>
      </c>
      <c r="B22" s="12" t="s">
        <v>19</v>
      </c>
      <c r="C22" s="12" t="s">
        <v>163</v>
      </c>
      <c r="D22" s="12" t="s">
        <v>164</v>
      </c>
      <c r="E22" s="22"/>
      <c r="F22" s="22"/>
      <c r="G22" s="22" t="s">
        <v>119</v>
      </c>
      <c r="H22" s="22"/>
      <c r="I22" s="12" t="str">
        <f aca="false">IF(AND(Entreprise!$C$13="Essentiel",M22=0),"Hors parcours",IF(AND(G22="Exclure",H22&lt;&gt;""),"Non",IF(G22="Inclure","Oui",IF(AND(G22="Auto",Entreprise!$C$20="Non"),"Non","Oui"))))</f>
        <v>Oui</v>
      </c>
      <c r="J22" s="14" t="n">
        <f aca="false">IF(T22=0,0,VLOOKUP(E22,Barèmes!$B$6:$C$11,2,FALSE()))</f>
        <v>0</v>
      </c>
      <c r="K22" s="24" t="n">
        <v>1</v>
      </c>
      <c r="L22" s="2" t="n">
        <v>0</v>
      </c>
      <c r="M22" s="2" t="n">
        <v>0</v>
      </c>
      <c r="N22" s="2" t="s">
        <v>120</v>
      </c>
      <c r="O22" s="16" t="n">
        <f aca="false">P22*J22</f>
        <v>0</v>
      </c>
      <c r="P22" s="16" t="n">
        <f aca="false">IF(I22="Oui",K22,0)</f>
        <v>1</v>
      </c>
      <c r="Q22" s="16" t="n">
        <f aca="false">P22-O22</f>
        <v>1</v>
      </c>
      <c r="R22" s="2" t="str">
        <f aca="false">IF(I22&lt;&gt;"Oui","Hors périmètre",IF(Q22=0,"Maintenir",IF(U22=1,"P1",IF(K22=3,"P2",IF(K22=2,"P3","P4")))))</f>
        <v>P4</v>
      </c>
      <c r="S22" s="2" t="n">
        <f aca="false">IF(OR(I22&lt;&gt;"Oui",Q22=0),0,COUNTIFS($R$8:$R$119,"&lt;"&amp;R22,$Q$8:$Q$119,"&gt;0")+COUNTIFS($R$8:$R$119,R22,$Q$8:$Q$119,"&gt;"&amp;Q22)+COUNTIFS($R$8:R22,R22,$Q$8:Q22,Q22))</f>
        <v>106</v>
      </c>
      <c r="T22" s="2" t="n">
        <f aca="false">IF(AND(I22="Oui",E22&lt;&gt;"",COUNTIFS(Barèmes!$B$6:$B$11,E22)=1),1,0)</f>
        <v>0</v>
      </c>
      <c r="U22" s="2" t="n">
        <f aca="false">IF(AND(I22="Oui",L22=1,J22&lt;Barèmes!$G$6),1,0)</f>
        <v>0</v>
      </c>
      <c r="V22" s="2" t="n">
        <f aca="false">IF(AND(I22="Oui",E22="Je ne sais pas"),1,0)</f>
        <v>0</v>
      </c>
      <c r="W22" s="2" t="n">
        <f aca="false">T22</f>
        <v>0</v>
      </c>
      <c r="X22" s="12" t="str">
        <f aca="false">IF(AND(G22="Exclure",H22=""),"Justifier l’exclusion",IF(AND(E22&lt;&gt;"",T22=0,I22="Oui"),"Réponse invalide",IF(AND(I22="Oui",G22="Auto",Entreprise!$C$20="À confirmer"),"Confirmer l’usage",IF(AND(E22="4 · Vérifié et suivi",F22="",I22="Oui"),"Preuve à référencer",""))))</f>
        <v/>
      </c>
    </row>
    <row r="23" customFormat="false" ht="85.5" hidden="false" customHeight="true" outlineLevel="0" collapsed="false">
      <c r="A23" s="12" t="s">
        <v>165</v>
      </c>
      <c r="B23" s="12" t="s">
        <v>19</v>
      </c>
      <c r="C23" s="12" t="s">
        <v>166</v>
      </c>
      <c r="D23" s="12" t="s">
        <v>167</v>
      </c>
      <c r="E23" s="22"/>
      <c r="F23" s="22"/>
      <c r="G23" s="22" t="s">
        <v>119</v>
      </c>
      <c r="H23" s="22"/>
      <c r="I23" s="12" t="str">
        <f aca="false">IF(AND(Entreprise!$C$13="Essentiel",M23=0),"Hors parcours",IF(AND(G23="Exclure",H23&lt;&gt;""),"Non",IF(G23="Inclure","Oui",IF(AND(G23="Auto",Entreprise!$C$30="Non"),"Non","Oui"))))</f>
        <v>Oui</v>
      </c>
      <c r="J23" s="14" t="n">
        <f aca="false">IF(T23=0,0,VLOOKUP(E23,Barèmes!$B$6:$C$11,2,FALSE()))</f>
        <v>0</v>
      </c>
      <c r="K23" s="24" t="n">
        <v>2</v>
      </c>
      <c r="L23" s="2" t="n">
        <v>0</v>
      </c>
      <c r="M23" s="2" t="n">
        <v>0</v>
      </c>
      <c r="N23" s="2" t="s">
        <v>168</v>
      </c>
      <c r="O23" s="16" t="n">
        <f aca="false">P23*J23</f>
        <v>0</v>
      </c>
      <c r="P23" s="16" t="n">
        <f aca="false">IF(I23="Oui",K23,0)</f>
        <v>2</v>
      </c>
      <c r="Q23" s="16" t="n">
        <f aca="false">P23-O23</f>
        <v>2</v>
      </c>
      <c r="R23" s="2" t="str">
        <f aca="false">IF(I23&lt;&gt;"Oui","Hors périmètre",IF(Q23=0,"Maintenir",IF(U23=1,"P1",IF(K23=3,"P2",IF(K23=2,"P3","P4")))))</f>
        <v>P3</v>
      </c>
      <c r="S23" s="2" t="n">
        <f aca="false">IF(OR(I23&lt;&gt;"Oui",Q23=0),0,COUNTIFS($R$8:$R$119,"&lt;"&amp;R23,$Q$8:$Q$119,"&gt;0")+COUNTIFS($R$8:$R$119,R23,$Q$8:$Q$119,"&gt;"&amp;Q23)+COUNTIFS($R$8:R23,R23,$Q$8:Q23,Q23))</f>
        <v>50</v>
      </c>
      <c r="T23" s="2" t="n">
        <f aca="false">IF(AND(I23="Oui",E23&lt;&gt;"",COUNTIFS(Barèmes!$B$6:$B$11,E23)=1),1,0)</f>
        <v>0</v>
      </c>
      <c r="U23" s="2" t="n">
        <f aca="false">IF(AND(I23="Oui",L23=1,J23&lt;Barèmes!$G$6),1,0)</f>
        <v>0</v>
      </c>
      <c r="V23" s="2" t="n">
        <f aca="false">IF(AND(I23="Oui",E23="Je ne sais pas"),1,0)</f>
        <v>0</v>
      </c>
      <c r="W23" s="2" t="n">
        <f aca="false">T23</f>
        <v>0</v>
      </c>
      <c r="X23" s="12" t="str">
        <f aca="false">IF(AND(G23="Exclure",H23=""),"Justifier l’exclusion",IF(AND(E23&lt;&gt;"",T23=0,I23="Oui"),"Réponse invalide",IF(AND(I23="Oui",G23="Auto",Entreprise!$C$30="À confirmer"),"Confirmer l’usage",IF(AND(E23="4 · Vérifié et suivi",F23="",I23="Oui"),"Preuve à référencer",""))))</f>
        <v>Confirmer l’usage</v>
      </c>
    </row>
    <row r="24" customFormat="false" ht="85.5" hidden="false" customHeight="true" outlineLevel="0" collapsed="false">
      <c r="A24" s="12" t="s">
        <v>169</v>
      </c>
      <c r="B24" s="12" t="s">
        <v>20</v>
      </c>
      <c r="C24" s="12" t="s">
        <v>170</v>
      </c>
      <c r="D24" s="12" t="s">
        <v>171</v>
      </c>
      <c r="E24" s="22"/>
      <c r="F24" s="22"/>
      <c r="G24" s="22" t="s">
        <v>119</v>
      </c>
      <c r="H24" s="22"/>
      <c r="I24" s="12" t="str">
        <f aca="false">IF(AND(Entreprise!$C$13="Essentiel",M24=0),"Hors parcours",IF(AND(G24="Exclure",H24&lt;&gt;""),"Non",IF(G24="Inclure","Oui",IF(AND(G24="Auto",Entreprise!$C$20="Non"),"Non","Oui"))))</f>
        <v>Oui</v>
      </c>
      <c r="J24" s="14" t="n">
        <f aca="false">IF(T24=0,0,VLOOKUP(E24,Barèmes!$B$6:$C$11,2,FALSE()))</f>
        <v>0</v>
      </c>
      <c r="K24" s="24" t="n">
        <v>3</v>
      </c>
      <c r="L24" s="2" t="n">
        <v>1</v>
      </c>
      <c r="M24" s="2" t="n">
        <v>1</v>
      </c>
      <c r="N24" s="2" t="s">
        <v>120</v>
      </c>
      <c r="O24" s="16" t="n">
        <f aca="false">P24*J24</f>
        <v>0</v>
      </c>
      <c r="P24" s="16" t="n">
        <f aca="false">IF(I24="Oui",K24,0)</f>
        <v>3</v>
      </c>
      <c r="Q24" s="16" t="n">
        <f aca="false">P24-O24</f>
        <v>3</v>
      </c>
      <c r="R24" s="2" t="str">
        <f aca="false">IF(I24&lt;&gt;"Oui","Hors périmètre",IF(Q24=0,"Maintenir",IF(U24=1,"P1",IF(K24=3,"P2",IF(K24=2,"P3","P4")))))</f>
        <v>P1</v>
      </c>
      <c r="S24" s="2" t="n">
        <f aca="false">IF(OR(I24&lt;&gt;"Oui",Q24=0),0,COUNTIFS($R$8:$R$119,"&lt;"&amp;R24,$Q$8:$Q$119,"&gt;0")+COUNTIFS($R$8:$R$119,R24,$Q$8:$Q$119,"&gt;"&amp;Q24)+COUNTIFS($R$8:R24,R24,$Q$8:Q24,Q24))</f>
        <v>1</v>
      </c>
      <c r="T24" s="2" t="n">
        <f aca="false">IF(AND(I24="Oui",E24&lt;&gt;"",COUNTIFS(Barèmes!$B$6:$B$11,E24)=1),1,0)</f>
        <v>0</v>
      </c>
      <c r="U24" s="2" t="n">
        <f aca="false">IF(AND(I24="Oui",L24=1,J24&lt;Barèmes!$G$6),1,0)</f>
        <v>1</v>
      </c>
      <c r="V24" s="2" t="n">
        <f aca="false">IF(AND(I24="Oui",E24="Je ne sais pas"),1,0)</f>
        <v>0</v>
      </c>
      <c r="W24" s="2" t="n">
        <f aca="false">T24</f>
        <v>0</v>
      </c>
      <c r="X24" s="12" t="str">
        <f aca="false">IF(AND(G24="Exclure",H24=""),"Justifier l’exclusion",IF(AND(E24&lt;&gt;"",T24=0,I24="Oui"),"Réponse invalide",IF(AND(I24="Oui",G24="Auto",Entreprise!$C$20="À confirmer"),"Confirmer l’usage",IF(AND(E24="4 · Vérifié et suivi",F24="",I24="Oui"),"Preuve à référencer",""))))</f>
        <v/>
      </c>
    </row>
    <row r="25" customFormat="false" ht="85.5" hidden="false" customHeight="true" outlineLevel="0" collapsed="false">
      <c r="A25" s="12" t="s">
        <v>172</v>
      </c>
      <c r="B25" s="12" t="s">
        <v>20</v>
      </c>
      <c r="C25" s="12" t="s">
        <v>173</v>
      </c>
      <c r="D25" s="12" t="s">
        <v>174</v>
      </c>
      <c r="E25" s="22"/>
      <c r="F25" s="22"/>
      <c r="G25" s="22" t="s">
        <v>119</v>
      </c>
      <c r="H25" s="22"/>
      <c r="I25" s="12" t="str">
        <f aca="false">IF(AND(Entreprise!$C$13="Essentiel",M25=0),"Hors parcours",IF(AND(G25="Exclure",H25&lt;&gt;""),"Non",IF(G25="Inclure","Oui",IF(AND(G25="Auto",Entreprise!$C$23="Non"),"Non","Oui"))))</f>
        <v>Oui</v>
      </c>
      <c r="J25" s="14" t="n">
        <f aca="false">IF(T25=0,0,VLOOKUP(E25,Barèmes!$B$6:$C$11,2,FALSE()))</f>
        <v>0</v>
      </c>
      <c r="K25" s="24" t="n">
        <v>3</v>
      </c>
      <c r="L25" s="2" t="n">
        <v>1</v>
      </c>
      <c r="M25" s="2" t="n">
        <v>1</v>
      </c>
      <c r="N25" s="2" t="s">
        <v>175</v>
      </c>
      <c r="O25" s="16" t="n">
        <f aca="false">P25*J25</f>
        <v>0</v>
      </c>
      <c r="P25" s="16" t="n">
        <f aca="false">IF(I25="Oui",K25,0)</f>
        <v>3</v>
      </c>
      <c r="Q25" s="16" t="n">
        <f aca="false">P25-O25</f>
        <v>3</v>
      </c>
      <c r="R25" s="2" t="str">
        <f aca="false">IF(I25&lt;&gt;"Oui","Hors périmètre",IF(Q25=0,"Maintenir",IF(U25=1,"P1",IF(K25=3,"P2",IF(K25=2,"P3","P4")))))</f>
        <v>P1</v>
      </c>
      <c r="S25" s="2" t="n">
        <f aca="false">IF(OR(I25&lt;&gt;"Oui",Q25=0),0,COUNTIFS($R$8:$R$119,"&lt;"&amp;R25,$Q$8:$Q$119,"&gt;0")+COUNTIFS($R$8:$R$119,R25,$Q$8:$Q$119,"&gt;"&amp;Q25)+COUNTIFS($R$8:R25,R25,$Q$8:Q25,Q25))</f>
        <v>2</v>
      </c>
      <c r="T25" s="2" t="n">
        <f aca="false">IF(AND(I25="Oui",E25&lt;&gt;"",COUNTIFS(Barèmes!$B$6:$B$11,E25)=1),1,0)</f>
        <v>0</v>
      </c>
      <c r="U25" s="2" t="n">
        <f aca="false">IF(AND(I25="Oui",L25=1,J25&lt;Barèmes!$G$6),1,0)</f>
        <v>1</v>
      </c>
      <c r="V25" s="2" t="n">
        <f aca="false">IF(AND(I25="Oui",E25="Je ne sais pas"),1,0)</f>
        <v>0</v>
      </c>
      <c r="W25" s="2" t="n">
        <f aca="false">T25</f>
        <v>0</v>
      </c>
      <c r="X25" s="12" t="str">
        <f aca="false">IF(AND(G25="Exclure",H25=""),"Justifier l’exclusion",IF(AND(E25&lt;&gt;"",T25=0,I25="Oui"),"Réponse invalide",IF(AND(I25="Oui",G25="Auto",Entreprise!$C$23="À confirmer"),"Confirmer l’usage",IF(AND(E25="4 · Vérifié et suivi",F25="",I25="Oui"),"Preuve à référencer",""))))</f>
        <v>Confirmer l’usage</v>
      </c>
    </row>
    <row r="26" customFormat="false" ht="85.5" hidden="false" customHeight="true" outlineLevel="0" collapsed="false">
      <c r="A26" s="12" t="s">
        <v>176</v>
      </c>
      <c r="B26" s="12" t="s">
        <v>20</v>
      </c>
      <c r="C26" s="12" t="s">
        <v>177</v>
      </c>
      <c r="D26" s="12" t="s">
        <v>178</v>
      </c>
      <c r="E26" s="22"/>
      <c r="F26" s="22"/>
      <c r="G26" s="22" t="s">
        <v>119</v>
      </c>
      <c r="H26" s="22"/>
      <c r="I26" s="12" t="str">
        <f aca="false">IF(AND(Entreprise!$C$13="Essentiel",M26=0),"Hors parcours",IF(AND(G26="Exclure",H26&lt;&gt;""),"Non",IF(G26="Inclure","Oui",IF(AND(G26="Auto",Entreprise!$C$20="Non"),"Non","Oui"))))</f>
        <v>Oui</v>
      </c>
      <c r="J26" s="14" t="n">
        <f aca="false">IF(T26=0,0,VLOOKUP(E26,Barèmes!$B$6:$C$11,2,FALSE()))</f>
        <v>0</v>
      </c>
      <c r="K26" s="24" t="n">
        <v>3</v>
      </c>
      <c r="L26" s="2" t="n">
        <v>1</v>
      </c>
      <c r="M26" s="2" t="n">
        <v>1</v>
      </c>
      <c r="N26" s="2" t="s">
        <v>120</v>
      </c>
      <c r="O26" s="16" t="n">
        <f aca="false">P26*J26</f>
        <v>0</v>
      </c>
      <c r="P26" s="16" t="n">
        <f aca="false">IF(I26="Oui",K26,0)</f>
        <v>3</v>
      </c>
      <c r="Q26" s="16" t="n">
        <f aca="false">P26-O26</f>
        <v>3</v>
      </c>
      <c r="R26" s="2" t="str">
        <f aca="false">IF(I26&lt;&gt;"Oui","Hors périmètre",IF(Q26=0,"Maintenir",IF(U26=1,"P1",IF(K26=3,"P2",IF(K26=2,"P3","P4")))))</f>
        <v>P1</v>
      </c>
      <c r="S26" s="2" t="n">
        <f aca="false">IF(OR(I26&lt;&gt;"Oui",Q26=0),0,COUNTIFS($R$8:$R$119,"&lt;"&amp;R26,$Q$8:$Q$119,"&gt;0")+COUNTIFS($R$8:$R$119,R26,$Q$8:$Q$119,"&gt;"&amp;Q26)+COUNTIFS($R$8:R26,R26,$Q$8:Q26,Q26))</f>
        <v>3</v>
      </c>
      <c r="T26" s="2" t="n">
        <f aca="false">IF(AND(I26="Oui",E26&lt;&gt;"",COUNTIFS(Barèmes!$B$6:$B$11,E26)=1),1,0)</f>
        <v>0</v>
      </c>
      <c r="U26" s="2" t="n">
        <f aca="false">IF(AND(I26="Oui",L26=1,J26&lt;Barèmes!$G$6),1,0)</f>
        <v>1</v>
      </c>
      <c r="V26" s="2" t="n">
        <f aca="false">IF(AND(I26="Oui",E26="Je ne sais pas"),1,0)</f>
        <v>0</v>
      </c>
      <c r="W26" s="2" t="n">
        <f aca="false">T26</f>
        <v>0</v>
      </c>
      <c r="X26" s="12" t="str">
        <f aca="false">IF(AND(G26="Exclure",H26=""),"Justifier l’exclusion",IF(AND(E26&lt;&gt;"",T26=0,I26="Oui"),"Réponse invalide",IF(AND(I26="Oui",G26="Auto",Entreprise!$C$20="À confirmer"),"Confirmer l’usage",IF(AND(E26="4 · Vérifié et suivi",F26="",I26="Oui"),"Preuve à référencer",""))))</f>
        <v/>
      </c>
    </row>
    <row r="27" customFormat="false" ht="85.5" hidden="false" customHeight="true" outlineLevel="0" collapsed="false">
      <c r="A27" s="12" t="s">
        <v>179</v>
      </c>
      <c r="B27" s="12" t="s">
        <v>20</v>
      </c>
      <c r="C27" s="12" t="s">
        <v>180</v>
      </c>
      <c r="D27" s="12" t="s">
        <v>181</v>
      </c>
      <c r="E27" s="22"/>
      <c r="F27" s="22"/>
      <c r="G27" s="22" t="s">
        <v>119</v>
      </c>
      <c r="H27" s="22"/>
      <c r="I27" s="12" t="str">
        <f aca="false">IF(AND(Entreprise!$C$13="Essentiel",M27=0),"Hors parcours",IF(AND(G27="Exclure",H27&lt;&gt;""),"Non",IF(G27="Inclure","Oui",IF(AND(G27="Auto",Entreprise!$C$20="Non"),"Non","Oui"))))</f>
        <v>Oui</v>
      </c>
      <c r="J27" s="14" t="n">
        <f aca="false">IF(T27=0,0,VLOOKUP(E27,Barèmes!$B$6:$C$11,2,FALSE()))</f>
        <v>0</v>
      </c>
      <c r="K27" s="24" t="n">
        <v>3</v>
      </c>
      <c r="L27" s="2" t="n">
        <v>0</v>
      </c>
      <c r="M27" s="2" t="n">
        <v>1</v>
      </c>
      <c r="N27" s="2" t="s">
        <v>120</v>
      </c>
      <c r="O27" s="16" t="n">
        <f aca="false">P27*J27</f>
        <v>0</v>
      </c>
      <c r="P27" s="16" t="n">
        <f aca="false">IF(I27="Oui",K27,0)</f>
        <v>3</v>
      </c>
      <c r="Q27" s="16" t="n">
        <f aca="false">P27-O27</f>
        <v>3</v>
      </c>
      <c r="R27" s="2" t="str">
        <f aca="false">IF(I27&lt;&gt;"Oui","Hors périmètre",IF(Q27=0,"Maintenir",IF(U27=1,"P1",IF(K27=3,"P2",IF(K27=2,"P3","P4")))))</f>
        <v>P2</v>
      </c>
      <c r="S27" s="2" t="n">
        <f aca="false">IF(OR(I27&lt;&gt;"Oui",Q27=0),0,COUNTIFS($R$8:$R$119,"&lt;"&amp;R27,$Q$8:$Q$119,"&gt;0")+COUNTIFS($R$8:$R$119,R27,$Q$8:$Q$119,"&gt;"&amp;Q27)+COUNTIFS($R$8:R27,R27,$Q$8:Q27,Q27))</f>
        <v>22</v>
      </c>
      <c r="T27" s="2" t="n">
        <f aca="false">IF(AND(I27="Oui",E27&lt;&gt;"",COUNTIFS(Barèmes!$B$6:$B$11,E27)=1),1,0)</f>
        <v>0</v>
      </c>
      <c r="U27" s="2" t="n">
        <f aca="false">IF(AND(I27="Oui",L27=1,J27&lt;Barèmes!$G$6),1,0)</f>
        <v>0</v>
      </c>
      <c r="V27" s="2" t="n">
        <f aca="false">IF(AND(I27="Oui",E27="Je ne sais pas"),1,0)</f>
        <v>0</v>
      </c>
      <c r="W27" s="2" t="n">
        <f aca="false">T27</f>
        <v>0</v>
      </c>
      <c r="X27" s="12" t="str">
        <f aca="false">IF(AND(G27="Exclure",H27=""),"Justifier l’exclusion",IF(AND(E27&lt;&gt;"",T27=0,I27="Oui"),"Réponse invalide",IF(AND(I27="Oui",G27="Auto",Entreprise!$C$20="À confirmer"),"Confirmer l’usage",IF(AND(E27="4 · Vérifié et suivi",F27="",I27="Oui"),"Preuve à référencer",""))))</f>
        <v/>
      </c>
    </row>
    <row r="28" customFormat="false" ht="85.5" hidden="false" customHeight="true" outlineLevel="0" collapsed="false">
      <c r="A28" s="12" t="s">
        <v>182</v>
      </c>
      <c r="B28" s="12" t="s">
        <v>20</v>
      </c>
      <c r="C28" s="12" t="s">
        <v>183</v>
      </c>
      <c r="D28" s="12" t="s">
        <v>184</v>
      </c>
      <c r="E28" s="22"/>
      <c r="F28" s="22"/>
      <c r="G28" s="22" t="s">
        <v>119</v>
      </c>
      <c r="H28" s="22"/>
      <c r="I28" s="12" t="str">
        <f aca="false">IF(AND(Entreprise!$C$13="Essentiel",M28=0),"Hors parcours",IF(AND(G28="Exclure",H28&lt;&gt;""),"Non",IF(G28="Inclure","Oui",IF(AND(G28="Auto",Entreprise!$C$20="Non"),"Non","Oui"))))</f>
        <v>Oui</v>
      </c>
      <c r="J28" s="14" t="n">
        <f aca="false">IF(T28=0,0,VLOOKUP(E28,Barèmes!$B$6:$C$11,2,FALSE()))</f>
        <v>0</v>
      </c>
      <c r="K28" s="24" t="n">
        <v>2</v>
      </c>
      <c r="L28" s="2" t="n">
        <v>0</v>
      </c>
      <c r="M28" s="2" t="n">
        <v>0</v>
      </c>
      <c r="N28" s="2" t="s">
        <v>120</v>
      </c>
      <c r="O28" s="16" t="n">
        <f aca="false">P28*J28</f>
        <v>0</v>
      </c>
      <c r="P28" s="16" t="n">
        <f aca="false">IF(I28="Oui",K28,0)</f>
        <v>2</v>
      </c>
      <c r="Q28" s="16" t="n">
        <f aca="false">P28-O28</f>
        <v>2</v>
      </c>
      <c r="R28" s="2" t="str">
        <f aca="false">IF(I28&lt;&gt;"Oui","Hors périmètre",IF(Q28=0,"Maintenir",IF(U28=1,"P1",IF(K28=3,"P2",IF(K28=2,"P3","P4")))))</f>
        <v>P3</v>
      </c>
      <c r="S28" s="2" t="n">
        <f aca="false">IF(OR(I28&lt;&gt;"Oui",Q28=0),0,COUNTIFS($R$8:$R$119,"&lt;"&amp;R28,$Q$8:$Q$119,"&gt;0")+COUNTIFS($R$8:$R$119,R28,$Q$8:$Q$119,"&gt;"&amp;Q28)+COUNTIFS($R$8:R28,R28,$Q$8:Q28,Q28))</f>
        <v>51</v>
      </c>
      <c r="T28" s="2" t="n">
        <f aca="false">IF(AND(I28="Oui",E28&lt;&gt;"",COUNTIFS(Barèmes!$B$6:$B$11,E28)=1),1,0)</f>
        <v>0</v>
      </c>
      <c r="U28" s="2" t="n">
        <f aca="false">IF(AND(I28="Oui",L28=1,J28&lt;Barèmes!$G$6),1,0)</f>
        <v>0</v>
      </c>
      <c r="V28" s="2" t="n">
        <f aca="false">IF(AND(I28="Oui",E28="Je ne sais pas"),1,0)</f>
        <v>0</v>
      </c>
      <c r="W28" s="2" t="n">
        <f aca="false">T28</f>
        <v>0</v>
      </c>
      <c r="X28" s="12" t="str">
        <f aca="false">IF(AND(G28="Exclure",H28=""),"Justifier l’exclusion",IF(AND(E28&lt;&gt;"",T28=0,I28="Oui"),"Réponse invalide",IF(AND(I28="Oui",G28="Auto",Entreprise!$C$20="À confirmer"),"Confirmer l’usage",IF(AND(E28="4 · Vérifié et suivi",F28="",I28="Oui"),"Preuve à référencer",""))))</f>
        <v/>
      </c>
    </row>
    <row r="29" customFormat="false" ht="85.5" hidden="false" customHeight="true" outlineLevel="0" collapsed="false">
      <c r="A29" s="12" t="s">
        <v>185</v>
      </c>
      <c r="B29" s="12" t="s">
        <v>20</v>
      </c>
      <c r="C29" s="12" t="s">
        <v>186</v>
      </c>
      <c r="D29" s="12" t="s">
        <v>187</v>
      </c>
      <c r="E29" s="22"/>
      <c r="F29" s="22"/>
      <c r="G29" s="22" t="s">
        <v>119</v>
      </c>
      <c r="H29" s="22"/>
      <c r="I29" s="12" t="str">
        <f aca="false">IF(AND(Entreprise!$C$13="Essentiel",M29=0),"Hors parcours",IF(AND(G29="Exclure",H29&lt;&gt;""),"Non",IF(G29="Inclure","Oui",IF(AND(G29="Auto",Entreprise!$C$20="Non"),"Non","Oui"))))</f>
        <v>Oui</v>
      </c>
      <c r="J29" s="14" t="n">
        <f aca="false">IF(T29=0,0,VLOOKUP(E29,Barèmes!$B$6:$C$11,2,FALSE()))</f>
        <v>0</v>
      </c>
      <c r="K29" s="24" t="n">
        <v>2</v>
      </c>
      <c r="L29" s="2" t="n">
        <v>0</v>
      </c>
      <c r="M29" s="2" t="n">
        <v>0</v>
      </c>
      <c r="N29" s="2" t="s">
        <v>120</v>
      </c>
      <c r="O29" s="16" t="n">
        <f aca="false">P29*J29</f>
        <v>0</v>
      </c>
      <c r="P29" s="16" t="n">
        <f aca="false">IF(I29="Oui",K29,0)</f>
        <v>2</v>
      </c>
      <c r="Q29" s="16" t="n">
        <f aca="false">P29-O29</f>
        <v>2</v>
      </c>
      <c r="R29" s="2" t="str">
        <f aca="false">IF(I29&lt;&gt;"Oui","Hors périmètre",IF(Q29=0,"Maintenir",IF(U29=1,"P1",IF(K29=3,"P2",IF(K29=2,"P3","P4")))))</f>
        <v>P3</v>
      </c>
      <c r="S29" s="2" t="n">
        <f aca="false">IF(OR(I29&lt;&gt;"Oui",Q29=0),0,COUNTIFS($R$8:$R$119,"&lt;"&amp;R29,$Q$8:$Q$119,"&gt;0")+COUNTIFS($R$8:$R$119,R29,$Q$8:$Q$119,"&gt;"&amp;Q29)+COUNTIFS($R$8:R29,R29,$Q$8:Q29,Q29))</f>
        <v>52</v>
      </c>
      <c r="T29" s="2" t="n">
        <f aca="false">IF(AND(I29="Oui",E29&lt;&gt;"",COUNTIFS(Barèmes!$B$6:$B$11,E29)=1),1,0)</f>
        <v>0</v>
      </c>
      <c r="U29" s="2" t="n">
        <f aca="false">IF(AND(I29="Oui",L29=1,J29&lt;Barèmes!$G$6),1,0)</f>
        <v>0</v>
      </c>
      <c r="V29" s="2" t="n">
        <f aca="false">IF(AND(I29="Oui",E29="Je ne sais pas"),1,0)</f>
        <v>0</v>
      </c>
      <c r="W29" s="2" t="n">
        <f aca="false">T29</f>
        <v>0</v>
      </c>
      <c r="X29" s="12" t="str">
        <f aca="false">IF(AND(G29="Exclure",H29=""),"Justifier l’exclusion",IF(AND(E29&lt;&gt;"",T29=0,I29="Oui"),"Réponse invalide",IF(AND(I29="Oui",G29="Auto",Entreprise!$C$20="À confirmer"),"Confirmer l’usage",IF(AND(E29="4 · Vérifié et suivi",F29="",I29="Oui"),"Preuve à référencer",""))))</f>
        <v/>
      </c>
    </row>
    <row r="30" customFormat="false" ht="85.5" hidden="false" customHeight="true" outlineLevel="0" collapsed="false">
      <c r="A30" s="12" t="s">
        <v>188</v>
      </c>
      <c r="B30" s="12" t="s">
        <v>20</v>
      </c>
      <c r="C30" s="12" t="s">
        <v>189</v>
      </c>
      <c r="D30" s="12" t="s">
        <v>190</v>
      </c>
      <c r="E30" s="22"/>
      <c r="F30" s="22"/>
      <c r="G30" s="22" t="s">
        <v>119</v>
      </c>
      <c r="H30" s="22"/>
      <c r="I30" s="12" t="str">
        <f aca="false">IF(AND(Entreprise!$C$13="Essentiel",M30=0),"Hors parcours",IF(AND(G30="Exclure",H30&lt;&gt;""),"Non",IF(G30="Inclure","Oui",IF(AND(G30="Auto",Entreprise!$C$20="Non"),"Non","Oui"))))</f>
        <v>Oui</v>
      </c>
      <c r="J30" s="14" t="n">
        <f aca="false">IF(T30=0,0,VLOOKUP(E30,Barèmes!$B$6:$C$11,2,FALSE()))</f>
        <v>0</v>
      </c>
      <c r="K30" s="24" t="n">
        <v>2</v>
      </c>
      <c r="L30" s="2" t="n">
        <v>0</v>
      </c>
      <c r="M30" s="2" t="n">
        <v>0</v>
      </c>
      <c r="N30" s="2" t="s">
        <v>120</v>
      </c>
      <c r="O30" s="16" t="n">
        <f aca="false">P30*J30</f>
        <v>0</v>
      </c>
      <c r="P30" s="16" t="n">
        <f aca="false">IF(I30="Oui",K30,0)</f>
        <v>2</v>
      </c>
      <c r="Q30" s="16" t="n">
        <f aca="false">P30-O30</f>
        <v>2</v>
      </c>
      <c r="R30" s="2" t="str">
        <f aca="false">IF(I30&lt;&gt;"Oui","Hors périmètre",IF(Q30=0,"Maintenir",IF(U30=1,"P1",IF(K30=3,"P2",IF(K30=2,"P3","P4")))))</f>
        <v>P3</v>
      </c>
      <c r="S30" s="2" t="n">
        <f aca="false">IF(OR(I30&lt;&gt;"Oui",Q30=0),0,COUNTIFS($R$8:$R$119,"&lt;"&amp;R30,$Q$8:$Q$119,"&gt;0")+COUNTIFS($R$8:$R$119,R30,$Q$8:$Q$119,"&gt;"&amp;Q30)+COUNTIFS($R$8:R30,R30,$Q$8:Q30,Q30))</f>
        <v>53</v>
      </c>
      <c r="T30" s="2" t="n">
        <f aca="false">IF(AND(I30="Oui",E30&lt;&gt;"",COUNTIFS(Barèmes!$B$6:$B$11,E30)=1),1,0)</f>
        <v>0</v>
      </c>
      <c r="U30" s="2" t="n">
        <f aca="false">IF(AND(I30="Oui",L30=1,J30&lt;Barèmes!$G$6),1,0)</f>
        <v>0</v>
      </c>
      <c r="V30" s="2" t="n">
        <f aca="false">IF(AND(I30="Oui",E30="Je ne sais pas"),1,0)</f>
        <v>0</v>
      </c>
      <c r="W30" s="2" t="n">
        <f aca="false">T30</f>
        <v>0</v>
      </c>
      <c r="X30" s="12" t="str">
        <f aca="false">IF(AND(G30="Exclure",H30=""),"Justifier l’exclusion",IF(AND(E30&lt;&gt;"",T30=0,I30="Oui"),"Réponse invalide",IF(AND(I30="Oui",G30="Auto",Entreprise!$C$20="À confirmer"),"Confirmer l’usage",IF(AND(E30="4 · Vérifié et suivi",F30="",I30="Oui"),"Preuve à référencer",""))))</f>
        <v/>
      </c>
    </row>
    <row r="31" customFormat="false" ht="85.5" hidden="false" customHeight="true" outlineLevel="0" collapsed="false">
      <c r="A31" s="12" t="s">
        <v>191</v>
      </c>
      <c r="B31" s="12" t="s">
        <v>20</v>
      </c>
      <c r="C31" s="12" t="s">
        <v>192</v>
      </c>
      <c r="D31" s="12" t="s">
        <v>193</v>
      </c>
      <c r="E31" s="22"/>
      <c r="F31" s="22"/>
      <c r="G31" s="22" t="s">
        <v>119</v>
      </c>
      <c r="H31" s="22"/>
      <c r="I31" s="12" t="str">
        <f aca="false">IF(AND(Entreprise!$C$13="Essentiel",M31=0),"Hors parcours",IF(AND(G31="Exclure",H31&lt;&gt;""),"Non",IF(G31="Inclure","Oui",IF(AND(G31="Auto",Entreprise!$C$20="Non"),"Non","Oui"))))</f>
        <v>Oui</v>
      </c>
      <c r="J31" s="14" t="n">
        <f aca="false">IF(T31=0,0,VLOOKUP(E31,Barèmes!$B$6:$C$11,2,FALSE()))</f>
        <v>0</v>
      </c>
      <c r="K31" s="24" t="n">
        <v>2</v>
      </c>
      <c r="L31" s="2" t="n">
        <v>0</v>
      </c>
      <c r="M31" s="2" t="n">
        <v>0</v>
      </c>
      <c r="N31" s="2" t="s">
        <v>120</v>
      </c>
      <c r="O31" s="16" t="n">
        <f aca="false">P31*J31</f>
        <v>0</v>
      </c>
      <c r="P31" s="16" t="n">
        <f aca="false">IF(I31="Oui",K31,0)</f>
        <v>2</v>
      </c>
      <c r="Q31" s="16" t="n">
        <f aca="false">P31-O31</f>
        <v>2</v>
      </c>
      <c r="R31" s="2" t="str">
        <f aca="false">IF(I31&lt;&gt;"Oui","Hors périmètre",IF(Q31=0,"Maintenir",IF(U31=1,"P1",IF(K31=3,"P2",IF(K31=2,"P3","P4")))))</f>
        <v>P3</v>
      </c>
      <c r="S31" s="2" t="n">
        <f aca="false">IF(OR(I31&lt;&gt;"Oui",Q31=0),0,COUNTIFS($R$8:$R$119,"&lt;"&amp;R31,$Q$8:$Q$119,"&gt;0")+COUNTIFS($R$8:$R$119,R31,$Q$8:$Q$119,"&gt;"&amp;Q31)+COUNTIFS($R$8:R31,R31,$Q$8:Q31,Q31))</f>
        <v>54</v>
      </c>
      <c r="T31" s="2" t="n">
        <f aca="false">IF(AND(I31="Oui",E31&lt;&gt;"",COUNTIFS(Barèmes!$B$6:$B$11,E31)=1),1,0)</f>
        <v>0</v>
      </c>
      <c r="U31" s="2" t="n">
        <f aca="false">IF(AND(I31="Oui",L31=1,J31&lt;Barèmes!$G$6),1,0)</f>
        <v>0</v>
      </c>
      <c r="V31" s="2" t="n">
        <f aca="false">IF(AND(I31="Oui",E31="Je ne sais pas"),1,0)</f>
        <v>0</v>
      </c>
      <c r="W31" s="2" t="n">
        <f aca="false">T31</f>
        <v>0</v>
      </c>
      <c r="X31" s="12" t="str">
        <f aca="false">IF(AND(G31="Exclure",H31=""),"Justifier l’exclusion",IF(AND(E31&lt;&gt;"",T31=0,I31="Oui"),"Réponse invalide",IF(AND(I31="Oui",G31="Auto",Entreprise!$C$20="À confirmer"),"Confirmer l’usage",IF(AND(E31="4 · Vérifié et suivi",F31="",I31="Oui"),"Preuve à référencer",""))))</f>
        <v/>
      </c>
    </row>
    <row r="32" customFormat="false" ht="85.5" hidden="false" customHeight="true" outlineLevel="0" collapsed="false">
      <c r="A32" s="12" t="s">
        <v>194</v>
      </c>
      <c r="B32" s="12" t="s">
        <v>21</v>
      </c>
      <c r="C32" s="12" t="s">
        <v>195</v>
      </c>
      <c r="D32" s="12" t="s">
        <v>196</v>
      </c>
      <c r="E32" s="22"/>
      <c r="F32" s="22"/>
      <c r="G32" s="22" t="s">
        <v>119</v>
      </c>
      <c r="H32" s="22"/>
      <c r="I32" s="12" t="str">
        <f aca="false">IF(AND(Entreprise!$C$13="Essentiel",M32=0),"Hors parcours",IF(AND(G32="Exclure",H32&lt;&gt;""),"Non",IF(G32="Inclure","Oui",IF(AND(G32="Auto",Entreprise!$C$21="Non"),"Non","Oui"))))</f>
        <v>Oui</v>
      </c>
      <c r="J32" s="14" t="n">
        <f aca="false">IF(T32=0,0,VLOOKUP(E32,Barèmes!$B$6:$C$11,2,FALSE()))</f>
        <v>0</v>
      </c>
      <c r="K32" s="24" t="n">
        <v>3</v>
      </c>
      <c r="L32" s="2" t="n">
        <v>0</v>
      </c>
      <c r="M32" s="2" t="n">
        <v>1</v>
      </c>
      <c r="N32" s="2" t="s">
        <v>197</v>
      </c>
      <c r="O32" s="16" t="n">
        <f aca="false">P32*J32</f>
        <v>0</v>
      </c>
      <c r="P32" s="16" t="n">
        <f aca="false">IF(I32="Oui",K32,0)</f>
        <v>3</v>
      </c>
      <c r="Q32" s="16" t="n">
        <f aca="false">P32-O32</f>
        <v>3</v>
      </c>
      <c r="R32" s="2" t="str">
        <f aca="false">IF(I32&lt;&gt;"Oui","Hors périmètre",IF(Q32=0,"Maintenir",IF(U32=1,"P1",IF(K32=3,"P2",IF(K32=2,"P3","P4")))))</f>
        <v>P2</v>
      </c>
      <c r="S32" s="2" t="n">
        <f aca="false">IF(OR(I32&lt;&gt;"Oui",Q32=0),0,COUNTIFS($R$8:$R$119,"&lt;"&amp;R32,$Q$8:$Q$119,"&gt;0")+COUNTIFS($R$8:$R$119,R32,$Q$8:$Q$119,"&gt;"&amp;Q32)+COUNTIFS($R$8:R32,R32,$Q$8:Q32,Q32))</f>
        <v>23</v>
      </c>
      <c r="T32" s="2" t="n">
        <f aca="false">IF(AND(I32="Oui",E32&lt;&gt;"",COUNTIFS(Barèmes!$B$6:$B$11,E32)=1),1,0)</f>
        <v>0</v>
      </c>
      <c r="U32" s="2" t="n">
        <f aca="false">IF(AND(I32="Oui",L32=1,J32&lt;Barèmes!$G$6),1,0)</f>
        <v>0</v>
      </c>
      <c r="V32" s="2" t="n">
        <f aca="false">IF(AND(I32="Oui",E32="Je ne sais pas"),1,0)</f>
        <v>0</v>
      </c>
      <c r="W32" s="2" t="n">
        <f aca="false">T32</f>
        <v>0</v>
      </c>
      <c r="X32" s="12" t="str">
        <f aca="false">IF(AND(G32="Exclure",H32=""),"Justifier l’exclusion",IF(AND(E32&lt;&gt;"",T32=0,I32="Oui"),"Réponse invalide",IF(AND(I32="Oui",G32="Auto",Entreprise!$C$21="À confirmer"),"Confirmer l’usage",IF(AND(E32="4 · Vérifié et suivi",F32="",I32="Oui"),"Preuve à référencer",""))))</f>
        <v>Confirmer l’usage</v>
      </c>
    </row>
    <row r="33" customFormat="false" ht="85.5" hidden="false" customHeight="true" outlineLevel="0" collapsed="false">
      <c r="A33" s="12" t="s">
        <v>198</v>
      </c>
      <c r="B33" s="12" t="s">
        <v>21</v>
      </c>
      <c r="C33" s="12" t="s">
        <v>199</v>
      </c>
      <c r="D33" s="12" t="s">
        <v>200</v>
      </c>
      <c r="E33" s="22"/>
      <c r="F33" s="22"/>
      <c r="G33" s="22" t="s">
        <v>119</v>
      </c>
      <c r="H33" s="22"/>
      <c r="I33" s="12" t="str">
        <f aca="false">IF(AND(Entreprise!$C$13="Essentiel",M33=0),"Hors parcours",IF(AND(G33="Exclure",H33&lt;&gt;""),"Non",IF(G33="Inclure","Oui",IF(AND(G33="Auto",Entreprise!$C$21="Non"),"Non","Oui"))))</f>
        <v>Oui</v>
      </c>
      <c r="J33" s="14" t="n">
        <f aca="false">IF(T33=0,0,VLOOKUP(E33,Barèmes!$B$6:$C$11,2,FALSE()))</f>
        <v>0</v>
      </c>
      <c r="K33" s="24" t="n">
        <v>3</v>
      </c>
      <c r="L33" s="2" t="n">
        <v>1</v>
      </c>
      <c r="M33" s="2" t="n">
        <v>1</v>
      </c>
      <c r="N33" s="2" t="s">
        <v>197</v>
      </c>
      <c r="O33" s="16" t="n">
        <f aca="false">P33*J33</f>
        <v>0</v>
      </c>
      <c r="P33" s="16" t="n">
        <f aca="false">IF(I33="Oui",K33,0)</f>
        <v>3</v>
      </c>
      <c r="Q33" s="16" t="n">
        <f aca="false">P33-O33</f>
        <v>3</v>
      </c>
      <c r="R33" s="2" t="str">
        <f aca="false">IF(I33&lt;&gt;"Oui","Hors périmètre",IF(Q33=0,"Maintenir",IF(U33=1,"P1",IF(K33=3,"P2",IF(K33=2,"P3","P4")))))</f>
        <v>P1</v>
      </c>
      <c r="S33" s="2" t="n">
        <f aca="false">IF(OR(I33&lt;&gt;"Oui",Q33=0),0,COUNTIFS($R$8:$R$119,"&lt;"&amp;R33,$Q$8:$Q$119,"&gt;0")+COUNTIFS($R$8:$R$119,R33,$Q$8:$Q$119,"&gt;"&amp;Q33)+COUNTIFS($R$8:R33,R33,$Q$8:Q33,Q33))</f>
        <v>4</v>
      </c>
      <c r="T33" s="2" t="n">
        <f aca="false">IF(AND(I33="Oui",E33&lt;&gt;"",COUNTIFS(Barèmes!$B$6:$B$11,E33)=1),1,0)</f>
        <v>0</v>
      </c>
      <c r="U33" s="2" t="n">
        <f aca="false">IF(AND(I33="Oui",L33=1,J33&lt;Barèmes!$G$6),1,0)</f>
        <v>1</v>
      </c>
      <c r="V33" s="2" t="n">
        <f aca="false">IF(AND(I33="Oui",E33="Je ne sais pas"),1,0)</f>
        <v>0</v>
      </c>
      <c r="W33" s="2" t="n">
        <f aca="false">T33</f>
        <v>0</v>
      </c>
      <c r="X33" s="12" t="str">
        <f aca="false">IF(AND(G33="Exclure",H33=""),"Justifier l’exclusion",IF(AND(E33&lt;&gt;"",T33=0,I33="Oui"),"Réponse invalide",IF(AND(I33="Oui",G33="Auto",Entreprise!$C$21="À confirmer"),"Confirmer l’usage",IF(AND(E33="4 · Vérifié et suivi",F33="",I33="Oui"),"Preuve à référencer",""))))</f>
        <v>Confirmer l’usage</v>
      </c>
    </row>
    <row r="34" customFormat="false" ht="85.5" hidden="false" customHeight="true" outlineLevel="0" collapsed="false">
      <c r="A34" s="12" t="s">
        <v>201</v>
      </c>
      <c r="B34" s="12" t="s">
        <v>21</v>
      </c>
      <c r="C34" s="12" t="s">
        <v>202</v>
      </c>
      <c r="D34" s="12" t="s">
        <v>203</v>
      </c>
      <c r="E34" s="22"/>
      <c r="F34" s="22"/>
      <c r="G34" s="22" t="s">
        <v>119</v>
      </c>
      <c r="H34" s="22"/>
      <c r="I34" s="12" t="str">
        <f aca="false">IF(AND(Entreprise!$C$13="Essentiel",M34=0),"Hors parcours",IF(AND(G34="Exclure",H34&lt;&gt;""),"Non",IF(G34="Inclure","Oui",IF(AND(G34="Auto",Entreprise!$C$20="Non"),"Non","Oui"))))</f>
        <v>Oui</v>
      </c>
      <c r="J34" s="14" t="n">
        <f aca="false">IF(T34=0,0,VLOOKUP(E34,Barèmes!$B$6:$C$11,2,FALSE()))</f>
        <v>0</v>
      </c>
      <c r="K34" s="24" t="n">
        <v>3</v>
      </c>
      <c r="L34" s="2" t="n">
        <v>1</v>
      </c>
      <c r="M34" s="2" t="n">
        <v>1</v>
      </c>
      <c r="N34" s="2" t="s">
        <v>120</v>
      </c>
      <c r="O34" s="16" t="n">
        <f aca="false">P34*J34</f>
        <v>0</v>
      </c>
      <c r="P34" s="16" t="n">
        <f aca="false">IF(I34="Oui",K34,0)</f>
        <v>3</v>
      </c>
      <c r="Q34" s="16" t="n">
        <f aca="false">P34-O34</f>
        <v>3</v>
      </c>
      <c r="R34" s="2" t="str">
        <f aca="false">IF(I34&lt;&gt;"Oui","Hors périmètre",IF(Q34=0,"Maintenir",IF(U34=1,"P1",IF(K34=3,"P2",IF(K34=2,"P3","P4")))))</f>
        <v>P1</v>
      </c>
      <c r="S34" s="2" t="n">
        <f aca="false">IF(OR(I34&lt;&gt;"Oui",Q34=0),0,COUNTIFS($R$8:$R$119,"&lt;"&amp;R34,$Q$8:$Q$119,"&gt;0")+COUNTIFS($R$8:$R$119,R34,$Q$8:$Q$119,"&gt;"&amp;Q34)+COUNTIFS($R$8:R34,R34,$Q$8:Q34,Q34))</f>
        <v>5</v>
      </c>
      <c r="T34" s="2" t="n">
        <f aca="false">IF(AND(I34="Oui",E34&lt;&gt;"",COUNTIFS(Barèmes!$B$6:$B$11,E34)=1),1,0)</f>
        <v>0</v>
      </c>
      <c r="U34" s="2" t="n">
        <f aca="false">IF(AND(I34="Oui",L34=1,J34&lt;Barèmes!$G$6),1,0)</f>
        <v>1</v>
      </c>
      <c r="V34" s="2" t="n">
        <f aca="false">IF(AND(I34="Oui",E34="Je ne sais pas"),1,0)</f>
        <v>0</v>
      </c>
      <c r="W34" s="2" t="n">
        <f aca="false">T34</f>
        <v>0</v>
      </c>
      <c r="X34" s="12" t="str">
        <f aca="false">IF(AND(G34="Exclure",H34=""),"Justifier l’exclusion",IF(AND(E34&lt;&gt;"",T34=0,I34="Oui"),"Réponse invalide",IF(AND(I34="Oui",G34="Auto",Entreprise!$C$20="À confirmer"),"Confirmer l’usage",IF(AND(E34="4 · Vérifié et suivi",F34="",I34="Oui"),"Preuve à référencer",""))))</f>
        <v/>
      </c>
    </row>
    <row r="35" customFormat="false" ht="85.5" hidden="false" customHeight="true" outlineLevel="0" collapsed="false">
      <c r="A35" s="12" t="s">
        <v>204</v>
      </c>
      <c r="B35" s="12" t="s">
        <v>21</v>
      </c>
      <c r="C35" s="12" t="s">
        <v>205</v>
      </c>
      <c r="D35" s="12" t="s">
        <v>206</v>
      </c>
      <c r="E35" s="22"/>
      <c r="F35" s="22"/>
      <c r="G35" s="22" t="s">
        <v>119</v>
      </c>
      <c r="H35" s="22"/>
      <c r="I35" s="12" t="str">
        <f aca="false">IF(AND(Entreprise!$C$13="Essentiel",M35=0),"Hors parcours",IF(AND(G35="Exclure",H35&lt;&gt;""),"Non",IF(G35="Inclure","Oui",IF(AND(G35="Auto",Entreprise!$C$21="Non"),"Non","Oui"))))</f>
        <v>Oui</v>
      </c>
      <c r="J35" s="14" t="n">
        <f aca="false">IF(T35=0,0,VLOOKUP(E35,Barèmes!$B$6:$C$11,2,FALSE()))</f>
        <v>0</v>
      </c>
      <c r="K35" s="24" t="n">
        <v>2</v>
      </c>
      <c r="L35" s="2" t="n">
        <v>0</v>
      </c>
      <c r="M35" s="2" t="n">
        <v>0</v>
      </c>
      <c r="N35" s="2" t="s">
        <v>197</v>
      </c>
      <c r="O35" s="16" t="n">
        <f aca="false">P35*J35</f>
        <v>0</v>
      </c>
      <c r="P35" s="16" t="n">
        <f aca="false">IF(I35="Oui",K35,0)</f>
        <v>2</v>
      </c>
      <c r="Q35" s="16" t="n">
        <f aca="false">P35-O35</f>
        <v>2</v>
      </c>
      <c r="R35" s="2" t="str">
        <f aca="false">IF(I35&lt;&gt;"Oui","Hors périmètre",IF(Q35=0,"Maintenir",IF(U35=1,"P1",IF(K35=3,"P2",IF(K35=2,"P3","P4")))))</f>
        <v>P3</v>
      </c>
      <c r="S35" s="2" t="n">
        <f aca="false">IF(OR(I35&lt;&gt;"Oui",Q35=0),0,COUNTIFS($R$8:$R$119,"&lt;"&amp;R35,$Q$8:$Q$119,"&gt;0")+COUNTIFS($R$8:$R$119,R35,$Q$8:$Q$119,"&gt;"&amp;Q35)+COUNTIFS($R$8:R35,R35,$Q$8:Q35,Q35))</f>
        <v>55</v>
      </c>
      <c r="T35" s="2" t="n">
        <f aca="false">IF(AND(I35="Oui",E35&lt;&gt;"",COUNTIFS(Barèmes!$B$6:$B$11,E35)=1),1,0)</f>
        <v>0</v>
      </c>
      <c r="U35" s="2" t="n">
        <f aca="false">IF(AND(I35="Oui",L35=1,J35&lt;Barèmes!$G$6),1,0)</f>
        <v>0</v>
      </c>
      <c r="V35" s="2" t="n">
        <f aca="false">IF(AND(I35="Oui",E35="Je ne sais pas"),1,0)</f>
        <v>0</v>
      </c>
      <c r="W35" s="2" t="n">
        <f aca="false">T35</f>
        <v>0</v>
      </c>
      <c r="X35" s="12" t="str">
        <f aca="false">IF(AND(G35="Exclure",H35=""),"Justifier l’exclusion",IF(AND(E35&lt;&gt;"",T35=0,I35="Oui"),"Réponse invalide",IF(AND(I35="Oui",G35="Auto",Entreprise!$C$21="À confirmer"),"Confirmer l’usage",IF(AND(E35="4 · Vérifié et suivi",F35="",I35="Oui"),"Preuve à référencer",""))))</f>
        <v>Confirmer l’usage</v>
      </c>
    </row>
    <row r="36" customFormat="false" ht="85.5" hidden="false" customHeight="true" outlineLevel="0" collapsed="false">
      <c r="A36" s="12" t="s">
        <v>207</v>
      </c>
      <c r="B36" s="12" t="s">
        <v>21</v>
      </c>
      <c r="C36" s="12" t="s">
        <v>208</v>
      </c>
      <c r="D36" s="12" t="s">
        <v>209</v>
      </c>
      <c r="E36" s="22"/>
      <c r="F36" s="22"/>
      <c r="G36" s="22" t="s">
        <v>119</v>
      </c>
      <c r="H36" s="22"/>
      <c r="I36" s="12" t="str">
        <f aca="false">IF(AND(Entreprise!$C$13="Essentiel",M36=0),"Hors parcours",IF(AND(G36="Exclure",H36&lt;&gt;""),"Non",IF(G36="Inclure","Oui",IF(AND(G36="Auto",Entreprise!$C$21="Non"),"Non","Oui"))))</f>
        <v>Oui</v>
      </c>
      <c r="J36" s="14" t="n">
        <f aca="false">IF(T36=0,0,VLOOKUP(E36,Barèmes!$B$6:$C$11,2,FALSE()))</f>
        <v>0</v>
      </c>
      <c r="K36" s="24" t="n">
        <v>2</v>
      </c>
      <c r="L36" s="2" t="n">
        <v>0</v>
      </c>
      <c r="M36" s="2" t="n">
        <v>0</v>
      </c>
      <c r="N36" s="2" t="s">
        <v>197</v>
      </c>
      <c r="O36" s="16" t="n">
        <f aca="false">P36*J36</f>
        <v>0</v>
      </c>
      <c r="P36" s="16" t="n">
        <f aca="false">IF(I36="Oui",K36,0)</f>
        <v>2</v>
      </c>
      <c r="Q36" s="16" t="n">
        <f aca="false">P36-O36</f>
        <v>2</v>
      </c>
      <c r="R36" s="2" t="str">
        <f aca="false">IF(I36&lt;&gt;"Oui","Hors périmètre",IF(Q36=0,"Maintenir",IF(U36=1,"P1",IF(K36=3,"P2",IF(K36=2,"P3","P4")))))</f>
        <v>P3</v>
      </c>
      <c r="S36" s="2" t="n">
        <f aca="false">IF(OR(I36&lt;&gt;"Oui",Q36=0),0,COUNTIFS($R$8:$R$119,"&lt;"&amp;R36,$Q$8:$Q$119,"&gt;0")+COUNTIFS($R$8:$R$119,R36,$Q$8:$Q$119,"&gt;"&amp;Q36)+COUNTIFS($R$8:R36,R36,$Q$8:Q36,Q36))</f>
        <v>56</v>
      </c>
      <c r="T36" s="2" t="n">
        <f aca="false">IF(AND(I36="Oui",E36&lt;&gt;"",COUNTIFS(Barèmes!$B$6:$B$11,E36)=1),1,0)</f>
        <v>0</v>
      </c>
      <c r="U36" s="2" t="n">
        <f aca="false">IF(AND(I36="Oui",L36=1,J36&lt;Barèmes!$G$6),1,0)</f>
        <v>0</v>
      </c>
      <c r="V36" s="2" t="n">
        <f aca="false">IF(AND(I36="Oui",E36="Je ne sais pas"),1,0)</f>
        <v>0</v>
      </c>
      <c r="W36" s="2" t="n">
        <f aca="false">T36</f>
        <v>0</v>
      </c>
      <c r="X36" s="12" t="str">
        <f aca="false">IF(AND(G36="Exclure",H36=""),"Justifier l’exclusion",IF(AND(E36&lt;&gt;"",T36=0,I36="Oui"),"Réponse invalide",IF(AND(I36="Oui",G36="Auto",Entreprise!$C$21="À confirmer"),"Confirmer l’usage",IF(AND(E36="4 · Vérifié et suivi",F36="",I36="Oui"),"Preuve à référencer",""))))</f>
        <v>Confirmer l’usage</v>
      </c>
    </row>
    <row r="37" customFormat="false" ht="85.5" hidden="false" customHeight="true" outlineLevel="0" collapsed="false">
      <c r="A37" s="12" t="s">
        <v>210</v>
      </c>
      <c r="B37" s="12" t="s">
        <v>21</v>
      </c>
      <c r="C37" s="12" t="s">
        <v>211</v>
      </c>
      <c r="D37" s="12" t="s">
        <v>212</v>
      </c>
      <c r="E37" s="22"/>
      <c r="F37" s="22"/>
      <c r="G37" s="22" t="s">
        <v>119</v>
      </c>
      <c r="H37" s="22"/>
      <c r="I37" s="12" t="str">
        <f aca="false">IF(AND(Entreprise!$C$13="Essentiel",M37=0),"Hors parcours",IF(AND(G37="Exclure",H37&lt;&gt;""),"Non",IF(G37="Inclure","Oui",IF(AND(G37="Auto",Entreprise!$C$29="Non"),"Non","Oui"))))</f>
        <v>Oui</v>
      </c>
      <c r="J37" s="14" t="n">
        <f aca="false">IF(T37=0,0,VLOOKUP(E37,Barèmes!$B$6:$C$11,2,FALSE()))</f>
        <v>0</v>
      </c>
      <c r="K37" s="24" t="n">
        <v>3</v>
      </c>
      <c r="L37" s="2" t="n">
        <v>0</v>
      </c>
      <c r="M37" s="2" t="n">
        <v>0</v>
      </c>
      <c r="N37" s="2" t="s">
        <v>157</v>
      </c>
      <c r="O37" s="16" t="n">
        <f aca="false">P37*J37</f>
        <v>0</v>
      </c>
      <c r="P37" s="16" t="n">
        <f aca="false">IF(I37="Oui",K37,0)</f>
        <v>3</v>
      </c>
      <c r="Q37" s="16" t="n">
        <f aca="false">P37-O37</f>
        <v>3</v>
      </c>
      <c r="R37" s="2" t="str">
        <f aca="false">IF(I37&lt;&gt;"Oui","Hors périmètre",IF(Q37=0,"Maintenir",IF(U37=1,"P1",IF(K37=3,"P2",IF(K37=2,"P3","P4")))))</f>
        <v>P2</v>
      </c>
      <c r="S37" s="2" t="n">
        <f aca="false">IF(OR(I37&lt;&gt;"Oui",Q37=0),0,COUNTIFS($R$8:$R$119,"&lt;"&amp;R37,$Q$8:$Q$119,"&gt;0")+COUNTIFS($R$8:$R$119,R37,$Q$8:$Q$119,"&gt;"&amp;Q37)+COUNTIFS($R$8:R37,R37,$Q$8:Q37,Q37))</f>
        <v>24</v>
      </c>
      <c r="T37" s="2" t="n">
        <f aca="false">IF(AND(I37="Oui",E37&lt;&gt;"",COUNTIFS(Barèmes!$B$6:$B$11,E37)=1),1,0)</f>
        <v>0</v>
      </c>
      <c r="U37" s="2" t="n">
        <f aca="false">IF(AND(I37="Oui",L37=1,J37&lt;Barèmes!$G$6),1,0)</f>
        <v>0</v>
      </c>
      <c r="V37" s="2" t="n">
        <f aca="false">IF(AND(I37="Oui",E37="Je ne sais pas"),1,0)</f>
        <v>0</v>
      </c>
      <c r="W37" s="2" t="n">
        <f aca="false">T37</f>
        <v>0</v>
      </c>
      <c r="X37" s="12" t="str">
        <f aca="false">IF(AND(G37="Exclure",H37=""),"Justifier l’exclusion",IF(AND(E37&lt;&gt;"",T37=0,I37="Oui"),"Réponse invalide",IF(AND(I37="Oui",G37="Auto",Entreprise!$C$29="À confirmer"),"Confirmer l’usage",IF(AND(E37="4 · Vérifié et suivi",F37="",I37="Oui"),"Preuve à référencer",""))))</f>
        <v>Confirmer l’usage</v>
      </c>
    </row>
    <row r="38" customFormat="false" ht="85.5" hidden="false" customHeight="true" outlineLevel="0" collapsed="false">
      <c r="A38" s="12" t="s">
        <v>213</v>
      </c>
      <c r="B38" s="12" t="s">
        <v>21</v>
      </c>
      <c r="C38" s="12" t="s">
        <v>214</v>
      </c>
      <c r="D38" s="12" t="s">
        <v>215</v>
      </c>
      <c r="E38" s="22"/>
      <c r="F38" s="22"/>
      <c r="G38" s="22" t="s">
        <v>119</v>
      </c>
      <c r="H38" s="22"/>
      <c r="I38" s="12" t="str">
        <f aca="false">IF(AND(Entreprise!$C$13="Essentiel",M38=0),"Hors parcours",IF(AND(G38="Exclure",H38&lt;&gt;""),"Non",IF(G38="Inclure","Oui",IF(AND(G38="Auto",Entreprise!$C$26="Non"),"Non","Oui"))))</f>
        <v>Oui</v>
      </c>
      <c r="J38" s="14" t="n">
        <f aca="false">IF(T38=0,0,VLOOKUP(E38,Barèmes!$B$6:$C$11,2,FALSE()))</f>
        <v>0</v>
      </c>
      <c r="K38" s="24" t="n">
        <v>2</v>
      </c>
      <c r="L38" s="2" t="n">
        <v>0</v>
      </c>
      <c r="M38" s="2" t="n">
        <v>0</v>
      </c>
      <c r="N38" s="2" t="s">
        <v>216</v>
      </c>
      <c r="O38" s="16" t="n">
        <f aca="false">P38*J38</f>
        <v>0</v>
      </c>
      <c r="P38" s="16" t="n">
        <f aca="false">IF(I38="Oui",K38,0)</f>
        <v>2</v>
      </c>
      <c r="Q38" s="16" t="n">
        <f aca="false">P38-O38</f>
        <v>2</v>
      </c>
      <c r="R38" s="2" t="str">
        <f aca="false">IF(I38&lt;&gt;"Oui","Hors périmètre",IF(Q38=0,"Maintenir",IF(U38=1,"P1",IF(K38=3,"P2",IF(K38=2,"P3","P4")))))</f>
        <v>P3</v>
      </c>
      <c r="S38" s="2" t="n">
        <f aca="false">IF(OR(I38&lt;&gt;"Oui",Q38=0),0,COUNTIFS($R$8:$R$119,"&lt;"&amp;R38,$Q$8:$Q$119,"&gt;0")+COUNTIFS($R$8:$R$119,R38,$Q$8:$Q$119,"&gt;"&amp;Q38)+COUNTIFS($R$8:R38,R38,$Q$8:Q38,Q38))</f>
        <v>57</v>
      </c>
      <c r="T38" s="2" t="n">
        <f aca="false">IF(AND(I38="Oui",E38&lt;&gt;"",COUNTIFS(Barèmes!$B$6:$B$11,E38)=1),1,0)</f>
        <v>0</v>
      </c>
      <c r="U38" s="2" t="n">
        <f aca="false">IF(AND(I38="Oui",L38=1,J38&lt;Barèmes!$G$6),1,0)</f>
        <v>0</v>
      </c>
      <c r="V38" s="2" t="n">
        <f aca="false">IF(AND(I38="Oui",E38="Je ne sais pas"),1,0)</f>
        <v>0</v>
      </c>
      <c r="W38" s="2" t="n">
        <f aca="false">T38</f>
        <v>0</v>
      </c>
      <c r="X38" s="12" t="str">
        <f aca="false">IF(AND(G38="Exclure",H38=""),"Justifier l’exclusion",IF(AND(E38&lt;&gt;"",T38=0,I38="Oui"),"Réponse invalide",IF(AND(I38="Oui",G38="Auto",Entreprise!$C$26="À confirmer"),"Confirmer l’usage",IF(AND(E38="4 · Vérifié et suivi",F38="",I38="Oui"),"Preuve à référencer",""))))</f>
        <v>Confirmer l’usage</v>
      </c>
    </row>
    <row r="39" customFormat="false" ht="85.5" hidden="false" customHeight="true" outlineLevel="0" collapsed="false">
      <c r="A39" s="12" t="s">
        <v>217</v>
      </c>
      <c r="B39" s="12" t="s">
        <v>21</v>
      </c>
      <c r="C39" s="12" t="s">
        <v>218</v>
      </c>
      <c r="D39" s="12" t="s">
        <v>219</v>
      </c>
      <c r="E39" s="22"/>
      <c r="F39" s="22"/>
      <c r="G39" s="22" t="s">
        <v>119</v>
      </c>
      <c r="H39" s="22"/>
      <c r="I39" s="12" t="str">
        <f aca="false">IF(AND(Entreprise!$C$13="Essentiel",M39=0),"Hors parcours",IF(AND(G39="Exclure",H39&lt;&gt;""),"Non",IF(G39="Inclure","Oui",IF(AND(G39="Auto",Entreprise!$C$20="Non"),"Non","Oui"))))</f>
        <v>Oui</v>
      </c>
      <c r="J39" s="14" t="n">
        <f aca="false">IF(T39=0,0,VLOOKUP(E39,Barèmes!$B$6:$C$11,2,FALSE()))</f>
        <v>0</v>
      </c>
      <c r="K39" s="24" t="n">
        <v>2</v>
      </c>
      <c r="L39" s="2" t="n">
        <v>0</v>
      </c>
      <c r="M39" s="2" t="n">
        <v>0</v>
      </c>
      <c r="N39" s="2" t="s">
        <v>120</v>
      </c>
      <c r="O39" s="16" t="n">
        <f aca="false">P39*J39</f>
        <v>0</v>
      </c>
      <c r="P39" s="16" t="n">
        <f aca="false">IF(I39="Oui",K39,0)</f>
        <v>2</v>
      </c>
      <c r="Q39" s="16" t="n">
        <f aca="false">P39-O39</f>
        <v>2</v>
      </c>
      <c r="R39" s="2" t="str">
        <f aca="false">IF(I39&lt;&gt;"Oui","Hors périmètre",IF(Q39=0,"Maintenir",IF(U39=1,"P1",IF(K39=3,"P2",IF(K39=2,"P3","P4")))))</f>
        <v>P3</v>
      </c>
      <c r="S39" s="2" t="n">
        <f aca="false">IF(OR(I39&lt;&gt;"Oui",Q39=0),0,COUNTIFS($R$8:$R$119,"&lt;"&amp;R39,$Q$8:$Q$119,"&gt;0")+COUNTIFS($R$8:$R$119,R39,$Q$8:$Q$119,"&gt;"&amp;Q39)+COUNTIFS($R$8:R39,R39,$Q$8:Q39,Q39))</f>
        <v>58</v>
      </c>
      <c r="T39" s="2" t="n">
        <f aca="false">IF(AND(I39="Oui",E39&lt;&gt;"",COUNTIFS(Barèmes!$B$6:$B$11,E39)=1),1,0)</f>
        <v>0</v>
      </c>
      <c r="U39" s="2" t="n">
        <f aca="false">IF(AND(I39="Oui",L39=1,J39&lt;Barèmes!$G$6),1,0)</f>
        <v>0</v>
      </c>
      <c r="V39" s="2" t="n">
        <f aca="false">IF(AND(I39="Oui",E39="Je ne sais pas"),1,0)</f>
        <v>0</v>
      </c>
      <c r="W39" s="2" t="n">
        <f aca="false">T39</f>
        <v>0</v>
      </c>
      <c r="X39" s="12" t="str">
        <f aca="false">IF(AND(G39="Exclure",H39=""),"Justifier l’exclusion",IF(AND(E39&lt;&gt;"",T39=0,I39="Oui"),"Réponse invalide",IF(AND(I39="Oui",G39="Auto",Entreprise!$C$20="À confirmer"),"Confirmer l’usage",IF(AND(E39="4 · Vérifié et suivi",F39="",I39="Oui"),"Preuve à référencer",""))))</f>
        <v/>
      </c>
    </row>
    <row r="40" customFormat="false" ht="85.5" hidden="false" customHeight="true" outlineLevel="0" collapsed="false">
      <c r="A40" s="12" t="s">
        <v>220</v>
      </c>
      <c r="B40" s="12" t="s">
        <v>22</v>
      </c>
      <c r="C40" s="12" t="s">
        <v>221</v>
      </c>
      <c r="D40" s="12" t="s">
        <v>222</v>
      </c>
      <c r="E40" s="22"/>
      <c r="F40" s="22"/>
      <c r="G40" s="22" t="s">
        <v>119</v>
      </c>
      <c r="H40" s="22"/>
      <c r="I40" s="12" t="str">
        <f aca="false">IF(AND(Entreprise!$C$13="Essentiel",M40=0),"Hors parcours",IF(AND(G40="Exclure",H40&lt;&gt;""),"Non",IF(G40="Inclure","Oui",IF(AND(G40="Auto",Entreprise!$C$20="Non"),"Non","Oui"))))</f>
        <v>Oui</v>
      </c>
      <c r="J40" s="14" t="n">
        <f aca="false">IF(T40=0,0,VLOOKUP(E40,Barèmes!$B$6:$C$11,2,FALSE()))</f>
        <v>0</v>
      </c>
      <c r="K40" s="24" t="n">
        <v>3</v>
      </c>
      <c r="L40" s="2" t="n">
        <v>1</v>
      </c>
      <c r="M40" s="2" t="n">
        <v>1</v>
      </c>
      <c r="N40" s="2" t="s">
        <v>120</v>
      </c>
      <c r="O40" s="16" t="n">
        <f aca="false">P40*J40</f>
        <v>0</v>
      </c>
      <c r="P40" s="16" t="n">
        <f aca="false">IF(I40="Oui",K40,0)</f>
        <v>3</v>
      </c>
      <c r="Q40" s="16" t="n">
        <f aca="false">P40-O40</f>
        <v>3</v>
      </c>
      <c r="R40" s="2" t="str">
        <f aca="false">IF(I40&lt;&gt;"Oui","Hors périmètre",IF(Q40=0,"Maintenir",IF(U40=1,"P1",IF(K40=3,"P2",IF(K40=2,"P3","P4")))))</f>
        <v>P1</v>
      </c>
      <c r="S40" s="2" t="n">
        <f aca="false">IF(OR(I40&lt;&gt;"Oui",Q40=0),0,COUNTIFS($R$8:$R$119,"&lt;"&amp;R40,$Q$8:$Q$119,"&gt;0")+COUNTIFS($R$8:$R$119,R40,$Q$8:$Q$119,"&gt;"&amp;Q40)+COUNTIFS($R$8:R40,R40,$Q$8:Q40,Q40))</f>
        <v>6</v>
      </c>
      <c r="T40" s="2" t="n">
        <f aca="false">IF(AND(I40="Oui",E40&lt;&gt;"",COUNTIFS(Barèmes!$B$6:$B$11,E40)=1),1,0)</f>
        <v>0</v>
      </c>
      <c r="U40" s="2" t="n">
        <f aca="false">IF(AND(I40="Oui",L40=1,J40&lt;Barèmes!$G$6),1,0)</f>
        <v>1</v>
      </c>
      <c r="V40" s="2" t="n">
        <f aca="false">IF(AND(I40="Oui",E40="Je ne sais pas"),1,0)</f>
        <v>0</v>
      </c>
      <c r="W40" s="2" t="n">
        <f aca="false">T40</f>
        <v>0</v>
      </c>
      <c r="X40" s="12" t="str">
        <f aca="false">IF(AND(G40="Exclure",H40=""),"Justifier l’exclusion",IF(AND(E40&lt;&gt;"",T40=0,I40="Oui"),"Réponse invalide",IF(AND(I40="Oui",G40="Auto",Entreprise!$C$20="À confirmer"),"Confirmer l’usage",IF(AND(E40="4 · Vérifié et suivi",F40="",I40="Oui"),"Preuve à référencer",""))))</f>
        <v/>
      </c>
    </row>
    <row r="41" customFormat="false" ht="85.5" hidden="false" customHeight="true" outlineLevel="0" collapsed="false">
      <c r="A41" s="12" t="s">
        <v>223</v>
      </c>
      <c r="B41" s="12" t="s">
        <v>22</v>
      </c>
      <c r="C41" s="12" t="s">
        <v>224</v>
      </c>
      <c r="D41" s="12" t="s">
        <v>225</v>
      </c>
      <c r="E41" s="22"/>
      <c r="F41" s="22"/>
      <c r="G41" s="22" t="s">
        <v>119</v>
      </c>
      <c r="H41" s="22"/>
      <c r="I41" s="12" t="str">
        <f aca="false">IF(AND(Entreprise!$C$13="Essentiel",M41=0),"Hors parcours",IF(AND(G41="Exclure",H41&lt;&gt;""),"Non",IF(G41="Inclure","Oui",IF(AND(G41="Auto",Entreprise!$C$20="Non"),"Non","Oui"))))</f>
        <v>Oui</v>
      </c>
      <c r="J41" s="14" t="n">
        <f aca="false">IF(T41=0,0,VLOOKUP(E41,Barèmes!$B$6:$C$11,2,FALSE()))</f>
        <v>0</v>
      </c>
      <c r="K41" s="24" t="n">
        <v>3</v>
      </c>
      <c r="L41" s="2" t="n">
        <v>1</v>
      </c>
      <c r="M41" s="2" t="n">
        <v>1</v>
      </c>
      <c r="N41" s="2" t="s">
        <v>120</v>
      </c>
      <c r="O41" s="16" t="n">
        <f aca="false">P41*J41</f>
        <v>0</v>
      </c>
      <c r="P41" s="16" t="n">
        <f aca="false">IF(I41="Oui",K41,0)</f>
        <v>3</v>
      </c>
      <c r="Q41" s="16" t="n">
        <f aca="false">P41-O41</f>
        <v>3</v>
      </c>
      <c r="R41" s="2" t="str">
        <f aca="false">IF(I41&lt;&gt;"Oui","Hors périmètre",IF(Q41=0,"Maintenir",IF(U41=1,"P1",IF(K41=3,"P2",IF(K41=2,"P3","P4")))))</f>
        <v>P1</v>
      </c>
      <c r="S41" s="2" t="n">
        <f aca="false">IF(OR(I41&lt;&gt;"Oui",Q41=0),0,COUNTIFS($R$8:$R$119,"&lt;"&amp;R41,$Q$8:$Q$119,"&gt;0")+COUNTIFS($R$8:$R$119,R41,$Q$8:$Q$119,"&gt;"&amp;Q41)+COUNTIFS($R$8:R41,R41,$Q$8:Q41,Q41))</f>
        <v>7</v>
      </c>
      <c r="T41" s="2" t="n">
        <f aca="false">IF(AND(I41="Oui",E41&lt;&gt;"",COUNTIFS(Barèmes!$B$6:$B$11,E41)=1),1,0)</f>
        <v>0</v>
      </c>
      <c r="U41" s="2" t="n">
        <f aca="false">IF(AND(I41="Oui",L41=1,J41&lt;Barèmes!$G$6),1,0)</f>
        <v>1</v>
      </c>
      <c r="V41" s="2" t="n">
        <f aca="false">IF(AND(I41="Oui",E41="Je ne sais pas"),1,0)</f>
        <v>0</v>
      </c>
      <c r="W41" s="2" t="n">
        <f aca="false">T41</f>
        <v>0</v>
      </c>
      <c r="X41" s="12" t="str">
        <f aca="false">IF(AND(G41="Exclure",H41=""),"Justifier l’exclusion",IF(AND(E41&lt;&gt;"",T41=0,I41="Oui"),"Réponse invalide",IF(AND(I41="Oui",G41="Auto",Entreprise!$C$20="À confirmer"),"Confirmer l’usage",IF(AND(E41="4 · Vérifié et suivi",F41="",I41="Oui"),"Preuve à référencer",""))))</f>
        <v/>
      </c>
    </row>
    <row r="42" customFormat="false" ht="85.5" hidden="false" customHeight="true" outlineLevel="0" collapsed="false">
      <c r="A42" s="12" t="s">
        <v>226</v>
      </c>
      <c r="B42" s="12" t="s">
        <v>22</v>
      </c>
      <c r="C42" s="12" t="s">
        <v>227</v>
      </c>
      <c r="D42" s="12" t="s">
        <v>228</v>
      </c>
      <c r="E42" s="22"/>
      <c r="F42" s="22"/>
      <c r="G42" s="22" t="s">
        <v>119</v>
      </c>
      <c r="H42" s="22"/>
      <c r="I42" s="12" t="str">
        <f aca="false">IF(AND(Entreprise!$C$13="Essentiel",M42=0),"Hors parcours",IF(AND(G42="Exclure",H42&lt;&gt;""),"Non",IF(G42="Inclure","Oui",IF(AND(G42="Auto",Entreprise!$C$20="Non"),"Non","Oui"))))</f>
        <v>Oui</v>
      </c>
      <c r="J42" s="14" t="n">
        <f aca="false">IF(T42=0,0,VLOOKUP(E42,Barèmes!$B$6:$C$11,2,FALSE()))</f>
        <v>0</v>
      </c>
      <c r="K42" s="24" t="n">
        <v>3</v>
      </c>
      <c r="L42" s="2" t="n">
        <v>1</v>
      </c>
      <c r="M42" s="2" t="n">
        <v>1</v>
      </c>
      <c r="N42" s="2" t="s">
        <v>120</v>
      </c>
      <c r="O42" s="16" t="n">
        <f aca="false">P42*J42</f>
        <v>0</v>
      </c>
      <c r="P42" s="16" t="n">
        <f aca="false">IF(I42="Oui",K42,0)</f>
        <v>3</v>
      </c>
      <c r="Q42" s="16" t="n">
        <f aca="false">P42-O42</f>
        <v>3</v>
      </c>
      <c r="R42" s="2" t="str">
        <f aca="false">IF(I42&lt;&gt;"Oui","Hors périmètre",IF(Q42=0,"Maintenir",IF(U42=1,"P1",IF(K42=3,"P2",IF(K42=2,"P3","P4")))))</f>
        <v>P1</v>
      </c>
      <c r="S42" s="2" t="n">
        <f aca="false">IF(OR(I42&lt;&gt;"Oui",Q42=0),0,COUNTIFS($R$8:$R$119,"&lt;"&amp;R42,$Q$8:$Q$119,"&gt;0")+COUNTIFS($R$8:$R$119,R42,$Q$8:$Q$119,"&gt;"&amp;Q42)+COUNTIFS($R$8:R42,R42,$Q$8:Q42,Q42))</f>
        <v>8</v>
      </c>
      <c r="T42" s="2" t="n">
        <f aca="false">IF(AND(I42="Oui",E42&lt;&gt;"",COUNTIFS(Barèmes!$B$6:$B$11,E42)=1),1,0)</f>
        <v>0</v>
      </c>
      <c r="U42" s="2" t="n">
        <f aca="false">IF(AND(I42="Oui",L42=1,J42&lt;Barèmes!$G$6),1,0)</f>
        <v>1</v>
      </c>
      <c r="V42" s="2" t="n">
        <f aca="false">IF(AND(I42="Oui",E42="Je ne sais pas"),1,0)</f>
        <v>0</v>
      </c>
      <c r="W42" s="2" t="n">
        <f aca="false">T42</f>
        <v>0</v>
      </c>
      <c r="X42" s="12" t="str">
        <f aca="false">IF(AND(G42="Exclure",H42=""),"Justifier l’exclusion",IF(AND(E42&lt;&gt;"",T42=0,I42="Oui"),"Réponse invalide",IF(AND(I42="Oui",G42="Auto",Entreprise!$C$20="À confirmer"),"Confirmer l’usage",IF(AND(E42="4 · Vérifié et suivi",F42="",I42="Oui"),"Preuve à référencer",""))))</f>
        <v/>
      </c>
    </row>
    <row r="43" customFormat="false" ht="85.5" hidden="false" customHeight="true" outlineLevel="0" collapsed="false">
      <c r="A43" s="12" t="s">
        <v>229</v>
      </c>
      <c r="B43" s="12" t="s">
        <v>22</v>
      </c>
      <c r="C43" s="12" t="s">
        <v>230</v>
      </c>
      <c r="D43" s="12" t="s">
        <v>231</v>
      </c>
      <c r="E43" s="22"/>
      <c r="F43" s="22"/>
      <c r="G43" s="22" t="s">
        <v>119</v>
      </c>
      <c r="H43" s="22"/>
      <c r="I43" s="12" t="str">
        <f aca="false">IF(AND(Entreprise!$C$13="Essentiel",M43=0),"Hors parcours",IF(AND(G43="Exclure",H43&lt;&gt;""),"Non",IF(G43="Inclure","Oui",IF(AND(G43="Auto",Entreprise!$C$22="Non"),"Non","Oui"))))</f>
        <v>Oui</v>
      </c>
      <c r="J43" s="14" t="n">
        <f aca="false">IF(T43=0,0,VLOOKUP(E43,Barèmes!$B$6:$C$11,2,FALSE()))</f>
        <v>0</v>
      </c>
      <c r="K43" s="24" t="n">
        <v>3</v>
      </c>
      <c r="L43" s="2" t="n">
        <v>0</v>
      </c>
      <c r="M43" s="2" t="n">
        <v>1</v>
      </c>
      <c r="N43" s="2" t="s">
        <v>232</v>
      </c>
      <c r="O43" s="16" t="n">
        <f aca="false">P43*J43</f>
        <v>0</v>
      </c>
      <c r="P43" s="16" t="n">
        <f aca="false">IF(I43="Oui",K43,0)</f>
        <v>3</v>
      </c>
      <c r="Q43" s="16" t="n">
        <f aca="false">P43-O43</f>
        <v>3</v>
      </c>
      <c r="R43" s="2" t="str">
        <f aca="false">IF(I43&lt;&gt;"Oui","Hors périmètre",IF(Q43=0,"Maintenir",IF(U43=1,"P1",IF(K43=3,"P2",IF(K43=2,"P3","P4")))))</f>
        <v>P2</v>
      </c>
      <c r="S43" s="2" t="n">
        <f aca="false">IF(OR(I43&lt;&gt;"Oui",Q43=0),0,COUNTIFS($R$8:$R$119,"&lt;"&amp;R43,$Q$8:$Q$119,"&gt;0")+COUNTIFS($R$8:$R$119,R43,$Q$8:$Q$119,"&gt;"&amp;Q43)+COUNTIFS($R$8:R43,R43,$Q$8:Q43,Q43))</f>
        <v>25</v>
      </c>
      <c r="T43" s="2" t="n">
        <f aca="false">IF(AND(I43="Oui",E43&lt;&gt;"",COUNTIFS(Barèmes!$B$6:$B$11,E43)=1),1,0)</f>
        <v>0</v>
      </c>
      <c r="U43" s="2" t="n">
        <f aca="false">IF(AND(I43="Oui",L43=1,J43&lt;Barèmes!$G$6),1,0)</f>
        <v>0</v>
      </c>
      <c r="V43" s="2" t="n">
        <f aca="false">IF(AND(I43="Oui",E43="Je ne sais pas"),1,0)</f>
        <v>0</v>
      </c>
      <c r="W43" s="2" t="n">
        <f aca="false">T43</f>
        <v>0</v>
      </c>
      <c r="X43" s="12" t="str">
        <f aca="false">IF(AND(G43="Exclure",H43=""),"Justifier l’exclusion",IF(AND(E43&lt;&gt;"",T43=0,I43="Oui"),"Réponse invalide",IF(AND(I43="Oui",G43="Auto",Entreprise!$C$22="À confirmer"),"Confirmer l’usage",IF(AND(E43="4 · Vérifié et suivi",F43="",I43="Oui"),"Preuve à référencer",""))))</f>
        <v>Confirmer l’usage</v>
      </c>
    </row>
    <row r="44" customFormat="false" ht="85.5" hidden="false" customHeight="true" outlineLevel="0" collapsed="false">
      <c r="A44" s="12" t="s">
        <v>233</v>
      </c>
      <c r="B44" s="12" t="s">
        <v>22</v>
      </c>
      <c r="C44" s="12" t="s">
        <v>234</v>
      </c>
      <c r="D44" s="12" t="s">
        <v>235</v>
      </c>
      <c r="E44" s="22"/>
      <c r="F44" s="22"/>
      <c r="G44" s="22" t="s">
        <v>119</v>
      </c>
      <c r="H44" s="22"/>
      <c r="I44" s="12" t="str">
        <f aca="false">IF(AND(Entreprise!$C$13="Essentiel",M44=0),"Hors parcours",IF(AND(G44="Exclure",H44&lt;&gt;""),"Non",IF(G44="Inclure","Oui",IF(AND(G44="Auto",Entreprise!$C$20="Non"),"Non","Oui"))))</f>
        <v>Oui</v>
      </c>
      <c r="J44" s="14" t="n">
        <f aca="false">IF(T44=0,0,VLOOKUP(E44,Barèmes!$B$6:$C$11,2,FALSE()))</f>
        <v>0</v>
      </c>
      <c r="K44" s="24" t="n">
        <v>2</v>
      </c>
      <c r="L44" s="2" t="n">
        <v>0</v>
      </c>
      <c r="M44" s="2" t="n">
        <v>0</v>
      </c>
      <c r="N44" s="2" t="s">
        <v>120</v>
      </c>
      <c r="O44" s="16" t="n">
        <f aca="false">P44*J44</f>
        <v>0</v>
      </c>
      <c r="P44" s="16" t="n">
        <f aca="false">IF(I44="Oui",K44,0)</f>
        <v>2</v>
      </c>
      <c r="Q44" s="16" t="n">
        <f aca="false">P44-O44</f>
        <v>2</v>
      </c>
      <c r="R44" s="2" t="str">
        <f aca="false">IF(I44&lt;&gt;"Oui","Hors périmètre",IF(Q44=0,"Maintenir",IF(U44=1,"P1",IF(K44=3,"P2",IF(K44=2,"P3","P4")))))</f>
        <v>P3</v>
      </c>
      <c r="S44" s="2" t="n">
        <f aca="false">IF(OR(I44&lt;&gt;"Oui",Q44=0),0,COUNTIFS($R$8:$R$119,"&lt;"&amp;R44,$Q$8:$Q$119,"&gt;0")+COUNTIFS($R$8:$R$119,R44,$Q$8:$Q$119,"&gt;"&amp;Q44)+COUNTIFS($R$8:R44,R44,$Q$8:Q44,Q44))</f>
        <v>59</v>
      </c>
      <c r="T44" s="2" t="n">
        <f aca="false">IF(AND(I44="Oui",E44&lt;&gt;"",COUNTIFS(Barèmes!$B$6:$B$11,E44)=1),1,0)</f>
        <v>0</v>
      </c>
      <c r="U44" s="2" t="n">
        <f aca="false">IF(AND(I44="Oui",L44=1,J44&lt;Barèmes!$G$6),1,0)</f>
        <v>0</v>
      </c>
      <c r="V44" s="2" t="n">
        <f aca="false">IF(AND(I44="Oui",E44="Je ne sais pas"),1,0)</f>
        <v>0</v>
      </c>
      <c r="W44" s="2" t="n">
        <f aca="false">T44</f>
        <v>0</v>
      </c>
      <c r="X44" s="12" t="str">
        <f aca="false">IF(AND(G44="Exclure",H44=""),"Justifier l’exclusion",IF(AND(E44&lt;&gt;"",T44=0,I44="Oui"),"Réponse invalide",IF(AND(I44="Oui",G44="Auto",Entreprise!$C$20="À confirmer"),"Confirmer l’usage",IF(AND(E44="4 · Vérifié et suivi",F44="",I44="Oui"),"Preuve à référencer",""))))</f>
        <v/>
      </c>
    </row>
    <row r="45" customFormat="false" ht="85.5" hidden="false" customHeight="true" outlineLevel="0" collapsed="false">
      <c r="A45" s="12" t="s">
        <v>236</v>
      </c>
      <c r="B45" s="12" t="s">
        <v>22</v>
      </c>
      <c r="C45" s="12" t="s">
        <v>237</v>
      </c>
      <c r="D45" s="12" t="s">
        <v>238</v>
      </c>
      <c r="E45" s="22"/>
      <c r="F45" s="22"/>
      <c r="G45" s="22" t="s">
        <v>119</v>
      </c>
      <c r="H45" s="22"/>
      <c r="I45" s="12" t="str">
        <f aca="false">IF(AND(Entreprise!$C$13="Essentiel",M45=0),"Hors parcours",IF(AND(G45="Exclure",H45&lt;&gt;""),"Non",IF(G45="Inclure","Oui",IF(AND(G45="Auto",Entreprise!$C$22="Non"),"Non","Oui"))))</f>
        <v>Oui</v>
      </c>
      <c r="J45" s="14" t="n">
        <f aca="false">IF(T45=0,0,VLOOKUP(E45,Barèmes!$B$6:$C$11,2,FALSE()))</f>
        <v>0</v>
      </c>
      <c r="K45" s="24" t="n">
        <v>2</v>
      </c>
      <c r="L45" s="2" t="n">
        <v>0</v>
      </c>
      <c r="M45" s="2" t="n">
        <v>0</v>
      </c>
      <c r="N45" s="2" t="s">
        <v>232</v>
      </c>
      <c r="O45" s="16" t="n">
        <f aca="false">P45*J45</f>
        <v>0</v>
      </c>
      <c r="P45" s="16" t="n">
        <f aca="false">IF(I45="Oui",K45,0)</f>
        <v>2</v>
      </c>
      <c r="Q45" s="16" t="n">
        <f aca="false">P45-O45</f>
        <v>2</v>
      </c>
      <c r="R45" s="2" t="str">
        <f aca="false">IF(I45&lt;&gt;"Oui","Hors périmètre",IF(Q45=0,"Maintenir",IF(U45=1,"P1",IF(K45=3,"P2",IF(K45=2,"P3","P4")))))</f>
        <v>P3</v>
      </c>
      <c r="S45" s="2" t="n">
        <f aca="false">IF(OR(I45&lt;&gt;"Oui",Q45=0),0,COUNTIFS($R$8:$R$119,"&lt;"&amp;R45,$Q$8:$Q$119,"&gt;0")+COUNTIFS($R$8:$R$119,R45,$Q$8:$Q$119,"&gt;"&amp;Q45)+COUNTIFS($R$8:R45,R45,$Q$8:Q45,Q45))</f>
        <v>60</v>
      </c>
      <c r="T45" s="2" t="n">
        <f aca="false">IF(AND(I45="Oui",E45&lt;&gt;"",COUNTIFS(Barèmes!$B$6:$B$11,E45)=1),1,0)</f>
        <v>0</v>
      </c>
      <c r="U45" s="2" t="n">
        <f aca="false">IF(AND(I45="Oui",L45=1,J45&lt;Barèmes!$G$6),1,0)</f>
        <v>0</v>
      </c>
      <c r="V45" s="2" t="n">
        <f aca="false">IF(AND(I45="Oui",E45="Je ne sais pas"),1,0)</f>
        <v>0</v>
      </c>
      <c r="W45" s="2" t="n">
        <f aca="false">T45</f>
        <v>0</v>
      </c>
      <c r="X45" s="12" t="str">
        <f aca="false">IF(AND(G45="Exclure",H45=""),"Justifier l’exclusion",IF(AND(E45&lt;&gt;"",T45=0,I45="Oui"),"Réponse invalide",IF(AND(I45="Oui",G45="Auto",Entreprise!$C$22="À confirmer"),"Confirmer l’usage",IF(AND(E45="4 · Vérifié et suivi",F45="",I45="Oui"),"Preuve à référencer",""))))</f>
        <v>Confirmer l’usage</v>
      </c>
    </row>
    <row r="46" customFormat="false" ht="85.5" hidden="false" customHeight="true" outlineLevel="0" collapsed="false">
      <c r="A46" s="12" t="s">
        <v>239</v>
      </c>
      <c r="B46" s="12" t="s">
        <v>22</v>
      </c>
      <c r="C46" s="12" t="s">
        <v>240</v>
      </c>
      <c r="D46" s="12" t="s">
        <v>241</v>
      </c>
      <c r="E46" s="22"/>
      <c r="F46" s="22"/>
      <c r="G46" s="22" t="s">
        <v>119</v>
      </c>
      <c r="H46" s="22"/>
      <c r="I46" s="12" t="str">
        <f aca="false">IF(AND(Entreprise!$C$13="Essentiel",M46=0),"Hors parcours",IF(AND(G46="Exclure",H46&lt;&gt;""),"Non",IF(G46="Inclure","Oui",IF(AND(G46="Auto",Entreprise!$C$20="Non"),"Non","Oui"))))</f>
        <v>Oui</v>
      </c>
      <c r="J46" s="14" t="n">
        <f aca="false">IF(T46=0,0,VLOOKUP(E46,Barèmes!$B$6:$C$11,2,FALSE()))</f>
        <v>0</v>
      </c>
      <c r="K46" s="24" t="n">
        <v>2</v>
      </c>
      <c r="L46" s="2" t="n">
        <v>0</v>
      </c>
      <c r="M46" s="2" t="n">
        <v>0</v>
      </c>
      <c r="N46" s="2" t="s">
        <v>120</v>
      </c>
      <c r="O46" s="16" t="n">
        <f aca="false">P46*J46</f>
        <v>0</v>
      </c>
      <c r="P46" s="16" t="n">
        <f aca="false">IF(I46="Oui",K46,0)</f>
        <v>2</v>
      </c>
      <c r="Q46" s="16" t="n">
        <f aca="false">P46-O46</f>
        <v>2</v>
      </c>
      <c r="R46" s="2" t="str">
        <f aca="false">IF(I46&lt;&gt;"Oui","Hors périmètre",IF(Q46=0,"Maintenir",IF(U46=1,"P1",IF(K46=3,"P2",IF(K46=2,"P3","P4")))))</f>
        <v>P3</v>
      </c>
      <c r="S46" s="2" t="n">
        <f aca="false">IF(OR(I46&lt;&gt;"Oui",Q46=0),0,COUNTIFS($R$8:$R$119,"&lt;"&amp;R46,$Q$8:$Q$119,"&gt;0")+COUNTIFS($R$8:$R$119,R46,$Q$8:$Q$119,"&gt;"&amp;Q46)+COUNTIFS($R$8:R46,R46,$Q$8:Q46,Q46))</f>
        <v>61</v>
      </c>
      <c r="T46" s="2" t="n">
        <f aca="false">IF(AND(I46="Oui",E46&lt;&gt;"",COUNTIFS(Barèmes!$B$6:$B$11,E46)=1),1,0)</f>
        <v>0</v>
      </c>
      <c r="U46" s="2" t="n">
        <f aca="false">IF(AND(I46="Oui",L46=1,J46&lt;Barèmes!$G$6),1,0)</f>
        <v>0</v>
      </c>
      <c r="V46" s="2" t="n">
        <f aca="false">IF(AND(I46="Oui",E46="Je ne sais pas"),1,0)</f>
        <v>0</v>
      </c>
      <c r="W46" s="2" t="n">
        <f aca="false">T46</f>
        <v>0</v>
      </c>
      <c r="X46" s="12" t="str">
        <f aca="false">IF(AND(G46="Exclure",H46=""),"Justifier l’exclusion",IF(AND(E46&lt;&gt;"",T46=0,I46="Oui"),"Réponse invalide",IF(AND(I46="Oui",G46="Auto",Entreprise!$C$20="À confirmer"),"Confirmer l’usage",IF(AND(E46="4 · Vérifié et suivi",F46="",I46="Oui"),"Preuve à référencer",""))))</f>
        <v/>
      </c>
    </row>
    <row r="47" customFormat="false" ht="85.5" hidden="false" customHeight="true" outlineLevel="0" collapsed="false">
      <c r="A47" s="12" t="s">
        <v>242</v>
      </c>
      <c r="B47" s="12" t="s">
        <v>22</v>
      </c>
      <c r="C47" s="12" t="s">
        <v>243</v>
      </c>
      <c r="D47" s="12" t="s">
        <v>244</v>
      </c>
      <c r="E47" s="22"/>
      <c r="F47" s="22"/>
      <c r="G47" s="22" t="s">
        <v>119</v>
      </c>
      <c r="H47" s="22"/>
      <c r="I47" s="12" t="str">
        <f aca="false">IF(AND(Entreprise!$C$13="Essentiel",M47=0),"Hors parcours",IF(AND(G47="Exclure",H47&lt;&gt;""),"Non",IF(G47="Inclure","Oui",IF(AND(G47="Auto",Entreprise!$C$20="Non"),"Non","Oui"))))</f>
        <v>Oui</v>
      </c>
      <c r="J47" s="14" t="n">
        <f aca="false">IF(T47=0,0,VLOOKUP(E47,Barèmes!$B$6:$C$11,2,FALSE()))</f>
        <v>0</v>
      </c>
      <c r="K47" s="24" t="n">
        <v>1</v>
      </c>
      <c r="L47" s="2" t="n">
        <v>0</v>
      </c>
      <c r="M47" s="2" t="n">
        <v>0</v>
      </c>
      <c r="N47" s="2" t="s">
        <v>120</v>
      </c>
      <c r="O47" s="16" t="n">
        <f aca="false">P47*J47</f>
        <v>0</v>
      </c>
      <c r="P47" s="16" t="n">
        <f aca="false">IF(I47="Oui",K47,0)</f>
        <v>1</v>
      </c>
      <c r="Q47" s="16" t="n">
        <f aca="false">P47-O47</f>
        <v>1</v>
      </c>
      <c r="R47" s="2" t="str">
        <f aca="false">IF(I47&lt;&gt;"Oui","Hors périmètre",IF(Q47=0,"Maintenir",IF(U47=1,"P1",IF(K47=3,"P2",IF(K47=2,"P3","P4")))))</f>
        <v>P4</v>
      </c>
      <c r="S47" s="2" t="n">
        <f aca="false">IF(OR(I47&lt;&gt;"Oui",Q47=0),0,COUNTIFS($R$8:$R$119,"&lt;"&amp;R47,$Q$8:$Q$119,"&gt;0")+COUNTIFS($R$8:$R$119,R47,$Q$8:$Q$119,"&gt;"&amp;Q47)+COUNTIFS($R$8:R47,R47,$Q$8:Q47,Q47))</f>
        <v>107</v>
      </c>
      <c r="T47" s="2" t="n">
        <f aca="false">IF(AND(I47="Oui",E47&lt;&gt;"",COUNTIFS(Barèmes!$B$6:$B$11,E47)=1),1,0)</f>
        <v>0</v>
      </c>
      <c r="U47" s="2" t="n">
        <f aca="false">IF(AND(I47="Oui",L47=1,J47&lt;Barèmes!$G$6),1,0)</f>
        <v>0</v>
      </c>
      <c r="V47" s="2" t="n">
        <f aca="false">IF(AND(I47="Oui",E47="Je ne sais pas"),1,0)</f>
        <v>0</v>
      </c>
      <c r="W47" s="2" t="n">
        <f aca="false">T47</f>
        <v>0</v>
      </c>
      <c r="X47" s="12" t="str">
        <f aca="false">IF(AND(G47="Exclure",H47=""),"Justifier l’exclusion",IF(AND(E47&lt;&gt;"",T47=0,I47="Oui"),"Réponse invalide",IF(AND(I47="Oui",G47="Auto",Entreprise!$C$20="À confirmer"),"Confirmer l’usage",IF(AND(E47="4 · Vérifié et suivi",F47="",I47="Oui"),"Preuve à référencer",""))))</f>
        <v/>
      </c>
    </row>
    <row r="48" customFormat="false" ht="85.5" hidden="false" customHeight="true" outlineLevel="0" collapsed="false">
      <c r="A48" s="12" t="s">
        <v>245</v>
      </c>
      <c r="B48" s="12" t="s">
        <v>23</v>
      </c>
      <c r="C48" s="12" t="s">
        <v>246</v>
      </c>
      <c r="D48" s="12" t="s">
        <v>247</v>
      </c>
      <c r="E48" s="22"/>
      <c r="F48" s="22"/>
      <c r="G48" s="22" t="s">
        <v>119</v>
      </c>
      <c r="H48" s="22"/>
      <c r="I48" s="12" t="str">
        <f aca="false">IF(AND(Entreprise!$C$13="Essentiel",M48=0),"Hors parcours",IF(AND(G48="Exclure",H48&lt;&gt;""),"Non",IF(G48="Inclure","Oui",IF(AND(G48="Auto",Entreprise!$C$24="Non"),"Non","Oui"))))</f>
        <v>Oui</v>
      </c>
      <c r="J48" s="14" t="n">
        <f aca="false">IF(T48=0,0,VLOOKUP(E48,Barèmes!$B$6:$C$11,2,FALSE()))</f>
        <v>0</v>
      </c>
      <c r="K48" s="24" t="n">
        <v>3</v>
      </c>
      <c r="L48" s="2" t="n">
        <v>1</v>
      </c>
      <c r="M48" s="2" t="n">
        <v>1</v>
      </c>
      <c r="N48" s="2" t="s">
        <v>248</v>
      </c>
      <c r="O48" s="16" t="n">
        <f aca="false">P48*J48</f>
        <v>0</v>
      </c>
      <c r="P48" s="16" t="n">
        <f aca="false">IF(I48="Oui",K48,0)</f>
        <v>3</v>
      </c>
      <c r="Q48" s="16" t="n">
        <f aca="false">P48-O48</f>
        <v>3</v>
      </c>
      <c r="R48" s="2" t="str">
        <f aca="false">IF(I48&lt;&gt;"Oui","Hors périmètre",IF(Q48=0,"Maintenir",IF(U48=1,"P1",IF(K48=3,"P2",IF(K48=2,"P3","P4")))))</f>
        <v>P1</v>
      </c>
      <c r="S48" s="2" t="n">
        <f aca="false">IF(OR(I48&lt;&gt;"Oui",Q48=0),0,COUNTIFS($R$8:$R$119,"&lt;"&amp;R48,$Q$8:$Q$119,"&gt;0")+COUNTIFS($R$8:$R$119,R48,$Q$8:$Q$119,"&gt;"&amp;Q48)+COUNTIFS($R$8:R48,R48,$Q$8:Q48,Q48))</f>
        <v>9</v>
      </c>
      <c r="T48" s="2" t="n">
        <f aca="false">IF(AND(I48="Oui",E48&lt;&gt;"",COUNTIFS(Barèmes!$B$6:$B$11,E48)=1),1,0)</f>
        <v>0</v>
      </c>
      <c r="U48" s="2" t="n">
        <f aca="false">IF(AND(I48="Oui",L48=1,J48&lt;Barèmes!$G$6),1,0)</f>
        <v>1</v>
      </c>
      <c r="V48" s="2" t="n">
        <f aca="false">IF(AND(I48="Oui",E48="Je ne sais pas"),1,0)</f>
        <v>0</v>
      </c>
      <c r="W48" s="2" t="n">
        <f aca="false">T48</f>
        <v>0</v>
      </c>
      <c r="X48" s="12" t="str">
        <f aca="false">IF(AND(G48="Exclure",H48=""),"Justifier l’exclusion",IF(AND(E48&lt;&gt;"",T48=0,I48="Oui"),"Réponse invalide",IF(AND(I48="Oui",G48="Auto",Entreprise!$C$24="À confirmer"),"Confirmer l’usage",IF(AND(E48="4 · Vérifié et suivi",F48="",I48="Oui"),"Preuve à référencer",""))))</f>
        <v>Confirmer l’usage</v>
      </c>
    </row>
    <row r="49" customFormat="false" ht="85.5" hidden="false" customHeight="true" outlineLevel="0" collapsed="false">
      <c r="A49" s="12" t="s">
        <v>249</v>
      </c>
      <c r="B49" s="12" t="s">
        <v>23</v>
      </c>
      <c r="C49" s="12" t="s">
        <v>250</v>
      </c>
      <c r="D49" s="12" t="s">
        <v>251</v>
      </c>
      <c r="E49" s="22"/>
      <c r="F49" s="22"/>
      <c r="G49" s="22" t="s">
        <v>119</v>
      </c>
      <c r="H49" s="22"/>
      <c r="I49" s="12" t="str">
        <f aca="false">IF(AND(Entreprise!$C$13="Essentiel",M49=0),"Hors parcours",IF(AND(G49="Exclure",H49&lt;&gt;""),"Non",IF(G49="Inclure","Oui",IF(AND(G49="Auto",Entreprise!$C$24="Non"),"Non","Oui"))))</f>
        <v>Oui</v>
      </c>
      <c r="J49" s="14" t="n">
        <f aca="false">IF(T49=0,0,VLOOKUP(E49,Barèmes!$B$6:$C$11,2,FALSE()))</f>
        <v>0</v>
      </c>
      <c r="K49" s="24" t="n">
        <v>3</v>
      </c>
      <c r="L49" s="2" t="n">
        <v>1</v>
      </c>
      <c r="M49" s="2" t="n">
        <v>1</v>
      </c>
      <c r="N49" s="2" t="s">
        <v>248</v>
      </c>
      <c r="O49" s="16" t="n">
        <f aca="false">P49*J49</f>
        <v>0</v>
      </c>
      <c r="P49" s="16" t="n">
        <f aca="false">IF(I49="Oui",K49,0)</f>
        <v>3</v>
      </c>
      <c r="Q49" s="16" t="n">
        <f aca="false">P49-O49</f>
        <v>3</v>
      </c>
      <c r="R49" s="2" t="str">
        <f aca="false">IF(I49&lt;&gt;"Oui","Hors périmètre",IF(Q49=0,"Maintenir",IF(U49=1,"P1",IF(K49=3,"P2",IF(K49=2,"P3","P4")))))</f>
        <v>P1</v>
      </c>
      <c r="S49" s="2" t="n">
        <f aca="false">IF(OR(I49&lt;&gt;"Oui",Q49=0),0,COUNTIFS($R$8:$R$119,"&lt;"&amp;R49,$Q$8:$Q$119,"&gt;0")+COUNTIFS($R$8:$R$119,R49,$Q$8:$Q$119,"&gt;"&amp;Q49)+COUNTIFS($R$8:R49,R49,$Q$8:Q49,Q49))</f>
        <v>10</v>
      </c>
      <c r="T49" s="2" t="n">
        <f aca="false">IF(AND(I49="Oui",E49&lt;&gt;"",COUNTIFS(Barèmes!$B$6:$B$11,E49)=1),1,0)</f>
        <v>0</v>
      </c>
      <c r="U49" s="2" t="n">
        <f aca="false">IF(AND(I49="Oui",L49=1,J49&lt;Barèmes!$G$6),1,0)</f>
        <v>1</v>
      </c>
      <c r="V49" s="2" t="n">
        <f aca="false">IF(AND(I49="Oui",E49="Je ne sais pas"),1,0)</f>
        <v>0</v>
      </c>
      <c r="W49" s="2" t="n">
        <f aca="false">T49</f>
        <v>0</v>
      </c>
      <c r="X49" s="12" t="str">
        <f aca="false">IF(AND(G49="Exclure",H49=""),"Justifier l’exclusion",IF(AND(E49&lt;&gt;"",T49=0,I49="Oui"),"Réponse invalide",IF(AND(I49="Oui",G49="Auto",Entreprise!$C$24="À confirmer"),"Confirmer l’usage",IF(AND(E49="4 · Vérifié et suivi",F49="",I49="Oui"),"Preuve à référencer",""))))</f>
        <v>Confirmer l’usage</v>
      </c>
    </row>
    <row r="50" customFormat="false" ht="85.5" hidden="false" customHeight="true" outlineLevel="0" collapsed="false">
      <c r="A50" s="12" t="s">
        <v>252</v>
      </c>
      <c r="B50" s="12" t="s">
        <v>23</v>
      </c>
      <c r="C50" s="12" t="s">
        <v>253</v>
      </c>
      <c r="D50" s="12" t="s">
        <v>254</v>
      </c>
      <c r="E50" s="22"/>
      <c r="F50" s="22"/>
      <c r="G50" s="22" t="s">
        <v>119</v>
      </c>
      <c r="H50" s="22"/>
      <c r="I50" s="12" t="str">
        <f aca="false">IF(AND(Entreprise!$C$13="Essentiel",M50=0),"Hors parcours",IF(AND(G50="Exclure",H50&lt;&gt;""),"Non",IF(G50="Inclure","Oui",IF(AND(G50="Auto",Entreprise!$C$24="Non"),"Non","Oui"))))</f>
        <v>Oui</v>
      </c>
      <c r="J50" s="14" t="n">
        <f aca="false">IF(T50=0,0,VLOOKUP(E50,Barèmes!$B$6:$C$11,2,FALSE()))</f>
        <v>0</v>
      </c>
      <c r="K50" s="24" t="n">
        <v>2</v>
      </c>
      <c r="L50" s="2" t="n">
        <v>0</v>
      </c>
      <c r="M50" s="2" t="n">
        <v>1</v>
      </c>
      <c r="N50" s="2" t="s">
        <v>248</v>
      </c>
      <c r="O50" s="16" t="n">
        <f aca="false">P50*J50</f>
        <v>0</v>
      </c>
      <c r="P50" s="16" t="n">
        <f aca="false">IF(I50="Oui",K50,0)</f>
        <v>2</v>
      </c>
      <c r="Q50" s="16" t="n">
        <f aca="false">P50-O50</f>
        <v>2</v>
      </c>
      <c r="R50" s="2" t="str">
        <f aca="false">IF(I50&lt;&gt;"Oui","Hors périmètre",IF(Q50=0,"Maintenir",IF(U50=1,"P1",IF(K50=3,"P2",IF(K50=2,"P3","P4")))))</f>
        <v>P3</v>
      </c>
      <c r="S50" s="2" t="n">
        <f aca="false">IF(OR(I50&lt;&gt;"Oui",Q50=0),0,COUNTIFS($R$8:$R$119,"&lt;"&amp;R50,$Q$8:$Q$119,"&gt;0")+COUNTIFS($R$8:$R$119,R50,$Q$8:$Q$119,"&gt;"&amp;Q50)+COUNTIFS($R$8:R50,R50,$Q$8:Q50,Q50))</f>
        <v>62</v>
      </c>
      <c r="T50" s="2" t="n">
        <f aca="false">IF(AND(I50="Oui",E50&lt;&gt;"",COUNTIFS(Barèmes!$B$6:$B$11,E50)=1),1,0)</f>
        <v>0</v>
      </c>
      <c r="U50" s="2" t="n">
        <f aca="false">IF(AND(I50="Oui",L50=1,J50&lt;Barèmes!$G$6),1,0)</f>
        <v>0</v>
      </c>
      <c r="V50" s="2" t="n">
        <f aca="false">IF(AND(I50="Oui",E50="Je ne sais pas"),1,0)</f>
        <v>0</v>
      </c>
      <c r="W50" s="2" t="n">
        <f aca="false">T50</f>
        <v>0</v>
      </c>
      <c r="X50" s="12" t="str">
        <f aca="false">IF(AND(G50="Exclure",H50=""),"Justifier l’exclusion",IF(AND(E50&lt;&gt;"",T50=0,I50="Oui"),"Réponse invalide",IF(AND(I50="Oui",G50="Auto",Entreprise!$C$24="À confirmer"),"Confirmer l’usage",IF(AND(E50="4 · Vérifié et suivi",F50="",I50="Oui"),"Preuve à référencer",""))))</f>
        <v>Confirmer l’usage</v>
      </c>
    </row>
    <row r="51" customFormat="false" ht="85.5" hidden="false" customHeight="true" outlineLevel="0" collapsed="false">
      <c r="A51" s="12" t="s">
        <v>255</v>
      </c>
      <c r="B51" s="12" t="s">
        <v>23</v>
      </c>
      <c r="C51" s="12" t="s">
        <v>256</v>
      </c>
      <c r="D51" s="12" t="s">
        <v>257</v>
      </c>
      <c r="E51" s="22"/>
      <c r="F51" s="22"/>
      <c r="G51" s="22" t="s">
        <v>119</v>
      </c>
      <c r="H51" s="22"/>
      <c r="I51" s="12" t="str">
        <f aca="false">IF(AND(Entreprise!$C$13="Essentiel",M51=0),"Hors parcours",IF(AND(G51="Exclure",H51&lt;&gt;""),"Non",IF(G51="Inclure","Oui",IF(AND(G51="Auto",Entreprise!$C$24="Non"),"Non","Oui"))))</f>
        <v>Oui</v>
      </c>
      <c r="J51" s="14" t="n">
        <f aca="false">IF(T51=0,0,VLOOKUP(E51,Barèmes!$B$6:$C$11,2,FALSE()))</f>
        <v>0</v>
      </c>
      <c r="K51" s="24" t="n">
        <v>2</v>
      </c>
      <c r="L51" s="2" t="n">
        <v>0</v>
      </c>
      <c r="M51" s="2" t="n">
        <v>0</v>
      </c>
      <c r="N51" s="2" t="s">
        <v>248</v>
      </c>
      <c r="O51" s="16" t="n">
        <f aca="false">P51*J51</f>
        <v>0</v>
      </c>
      <c r="P51" s="16" t="n">
        <f aca="false">IF(I51="Oui",K51,0)</f>
        <v>2</v>
      </c>
      <c r="Q51" s="16" t="n">
        <f aca="false">P51-O51</f>
        <v>2</v>
      </c>
      <c r="R51" s="2" t="str">
        <f aca="false">IF(I51&lt;&gt;"Oui","Hors périmètre",IF(Q51=0,"Maintenir",IF(U51=1,"P1",IF(K51=3,"P2",IF(K51=2,"P3","P4")))))</f>
        <v>P3</v>
      </c>
      <c r="S51" s="2" t="n">
        <f aca="false">IF(OR(I51&lt;&gt;"Oui",Q51=0),0,COUNTIFS($R$8:$R$119,"&lt;"&amp;R51,$Q$8:$Q$119,"&gt;0")+COUNTIFS($R$8:$R$119,R51,$Q$8:$Q$119,"&gt;"&amp;Q51)+COUNTIFS($R$8:R51,R51,$Q$8:Q51,Q51))</f>
        <v>63</v>
      </c>
      <c r="T51" s="2" t="n">
        <f aca="false">IF(AND(I51="Oui",E51&lt;&gt;"",COUNTIFS(Barèmes!$B$6:$B$11,E51)=1),1,0)</f>
        <v>0</v>
      </c>
      <c r="U51" s="2" t="n">
        <f aca="false">IF(AND(I51="Oui",L51=1,J51&lt;Barèmes!$G$6),1,0)</f>
        <v>0</v>
      </c>
      <c r="V51" s="2" t="n">
        <f aca="false">IF(AND(I51="Oui",E51="Je ne sais pas"),1,0)</f>
        <v>0</v>
      </c>
      <c r="W51" s="2" t="n">
        <f aca="false">T51</f>
        <v>0</v>
      </c>
      <c r="X51" s="12" t="str">
        <f aca="false">IF(AND(G51="Exclure",H51=""),"Justifier l’exclusion",IF(AND(E51&lt;&gt;"",T51=0,I51="Oui"),"Réponse invalide",IF(AND(I51="Oui",G51="Auto",Entreprise!$C$24="À confirmer"),"Confirmer l’usage",IF(AND(E51="4 · Vérifié et suivi",F51="",I51="Oui"),"Preuve à référencer",""))))</f>
        <v>Confirmer l’usage</v>
      </c>
    </row>
    <row r="52" customFormat="false" ht="85.5" hidden="false" customHeight="true" outlineLevel="0" collapsed="false">
      <c r="A52" s="12" t="s">
        <v>258</v>
      </c>
      <c r="B52" s="12" t="s">
        <v>23</v>
      </c>
      <c r="C52" s="12" t="s">
        <v>259</v>
      </c>
      <c r="D52" s="12" t="s">
        <v>260</v>
      </c>
      <c r="E52" s="22"/>
      <c r="F52" s="22"/>
      <c r="G52" s="22" t="s">
        <v>119</v>
      </c>
      <c r="H52" s="22"/>
      <c r="I52" s="12" t="str">
        <f aca="false">IF(AND(Entreprise!$C$13="Essentiel",M52=0),"Hors parcours",IF(AND(G52="Exclure",H52&lt;&gt;""),"Non",IF(G52="Inclure","Oui",IF(AND(G52="Auto",Entreprise!$C$30="Non"),"Non","Oui"))))</f>
        <v>Oui</v>
      </c>
      <c r="J52" s="14" t="n">
        <f aca="false">IF(T52=0,0,VLOOKUP(E52,Barèmes!$B$6:$C$11,2,FALSE()))</f>
        <v>0</v>
      </c>
      <c r="K52" s="24" t="n">
        <v>2</v>
      </c>
      <c r="L52" s="2" t="n">
        <v>0</v>
      </c>
      <c r="M52" s="2" t="n">
        <v>0</v>
      </c>
      <c r="N52" s="2" t="s">
        <v>168</v>
      </c>
      <c r="O52" s="16" t="n">
        <f aca="false">P52*J52</f>
        <v>0</v>
      </c>
      <c r="P52" s="16" t="n">
        <f aca="false">IF(I52="Oui",K52,0)</f>
        <v>2</v>
      </c>
      <c r="Q52" s="16" t="n">
        <f aca="false">P52-O52</f>
        <v>2</v>
      </c>
      <c r="R52" s="2" t="str">
        <f aca="false">IF(I52&lt;&gt;"Oui","Hors périmètre",IF(Q52=0,"Maintenir",IF(U52=1,"P1",IF(K52=3,"P2",IF(K52=2,"P3","P4")))))</f>
        <v>P3</v>
      </c>
      <c r="S52" s="2" t="n">
        <f aca="false">IF(OR(I52&lt;&gt;"Oui",Q52=0),0,COUNTIFS($R$8:$R$119,"&lt;"&amp;R52,$Q$8:$Q$119,"&gt;0")+COUNTIFS($R$8:$R$119,R52,$Q$8:$Q$119,"&gt;"&amp;Q52)+COUNTIFS($R$8:R52,R52,$Q$8:Q52,Q52))</f>
        <v>64</v>
      </c>
      <c r="T52" s="2" t="n">
        <f aca="false">IF(AND(I52="Oui",E52&lt;&gt;"",COUNTIFS(Barèmes!$B$6:$B$11,E52)=1),1,0)</f>
        <v>0</v>
      </c>
      <c r="U52" s="2" t="n">
        <f aca="false">IF(AND(I52="Oui",L52=1,J52&lt;Barèmes!$G$6),1,0)</f>
        <v>0</v>
      </c>
      <c r="V52" s="2" t="n">
        <f aca="false">IF(AND(I52="Oui",E52="Je ne sais pas"),1,0)</f>
        <v>0</v>
      </c>
      <c r="W52" s="2" t="n">
        <f aca="false">T52</f>
        <v>0</v>
      </c>
      <c r="X52" s="12" t="str">
        <f aca="false">IF(AND(G52="Exclure",H52=""),"Justifier l’exclusion",IF(AND(E52&lt;&gt;"",T52=0,I52="Oui"),"Réponse invalide",IF(AND(I52="Oui",G52="Auto",Entreprise!$C$30="À confirmer"),"Confirmer l’usage",IF(AND(E52="4 · Vérifié et suivi",F52="",I52="Oui"),"Preuve à référencer",""))))</f>
        <v>Confirmer l’usage</v>
      </c>
    </row>
    <row r="53" customFormat="false" ht="85.5" hidden="false" customHeight="true" outlineLevel="0" collapsed="false">
      <c r="A53" s="12" t="s">
        <v>261</v>
      </c>
      <c r="B53" s="12" t="s">
        <v>23</v>
      </c>
      <c r="C53" s="12" t="s">
        <v>262</v>
      </c>
      <c r="D53" s="12" t="s">
        <v>263</v>
      </c>
      <c r="E53" s="22"/>
      <c r="F53" s="22"/>
      <c r="G53" s="22" t="s">
        <v>119</v>
      </c>
      <c r="H53" s="22"/>
      <c r="I53" s="12" t="str">
        <f aca="false">IF(AND(Entreprise!$C$13="Essentiel",M53=0),"Hors parcours",IF(AND(G53="Exclure",H53&lt;&gt;""),"Non",IF(G53="Inclure","Oui",IF(AND(G53="Auto",Entreprise!$C$23="Non"),"Non","Oui"))))</f>
        <v>Oui</v>
      </c>
      <c r="J53" s="14" t="n">
        <f aca="false">IF(T53=0,0,VLOOKUP(E53,Barèmes!$B$6:$C$11,2,FALSE()))</f>
        <v>0</v>
      </c>
      <c r="K53" s="24" t="n">
        <v>2</v>
      </c>
      <c r="L53" s="2" t="n">
        <v>0</v>
      </c>
      <c r="M53" s="2" t="n">
        <v>0</v>
      </c>
      <c r="N53" s="2" t="s">
        <v>175</v>
      </c>
      <c r="O53" s="16" t="n">
        <f aca="false">P53*J53</f>
        <v>0</v>
      </c>
      <c r="P53" s="16" t="n">
        <f aca="false">IF(I53="Oui",K53,0)</f>
        <v>2</v>
      </c>
      <c r="Q53" s="16" t="n">
        <f aca="false">P53-O53</f>
        <v>2</v>
      </c>
      <c r="R53" s="2" t="str">
        <f aca="false">IF(I53&lt;&gt;"Oui","Hors périmètre",IF(Q53=0,"Maintenir",IF(U53=1,"P1",IF(K53=3,"P2",IF(K53=2,"P3","P4")))))</f>
        <v>P3</v>
      </c>
      <c r="S53" s="2" t="n">
        <f aca="false">IF(OR(I53&lt;&gt;"Oui",Q53=0),0,COUNTIFS($R$8:$R$119,"&lt;"&amp;R53,$Q$8:$Q$119,"&gt;0")+COUNTIFS($R$8:$R$119,R53,$Q$8:$Q$119,"&gt;"&amp;Q53)+COUNTIFS($R$8:R53,R53,$Q$8:Q53,Q53))</f>
        <v>65</v>
      </c>
      <c r="T53" s="2" t="n">
        <f aca="false">IF(AND(I53="Oui",E53&lt;&gt;"",COUNTIFS(Barèmes!$B$6:$B$11,E53)=1),1,0)</f>
        <v>0</v>
      </c>
      <c r="U53" s="2" t="n">
        <f aca="false">IF(AND(I53="Oui",L53=1,J53&lt;Barèmes!$G$6),1,0)</f>
        <v>0</v>
      </c>
      <c r="V53" s="2" t="n">
        <f aca="false">IF(AND(I53="Oui",E53="Je ne sais pas"),1,0)</f>
        <v>0</v>
      </c>
      <c r="W53" s="2" t="n">
        <f aca="false">T53</f>
        <v>0</v>
      </c>
      <c r="X53" s="12" t="str">
        <f aca="false">IF(AND(G53="Exclure",H53=""),"Justifier l’exclusion",IF(AND(E53&lt;&gt;"",T53=0,I53="Oui"),"Réponse invalide",IF(AND(I53="Oui",G53="Auto",Entreprise!$C$23="À confirmer"),"Confirmer l’usage",IF(AND(E53="4 · Vérifié et suivi",F53="",I53="Oui"),"Preuve à référencer",""))))</f>
        <v>Confirmer l’usage</v>
      </c>
    </row>
    <row r="54" customFormat="false" ht="85.5" hidden="false" customHeight="true" outlineLevel="0" collapsed="false">
      <c r="A54" s="12" t="s">
        <v>264</v>
      </c>
      <c r="B54" s="12" t="s">
        <v>23</v>
      </c>
      <c r="C54" s="12" t="s">
        <v>265</v>
      </c>
      <c r="D54" s="12" t="s">
        <v>266</v>
      </c>
      <c r="E54" s="22"/>
      <c r="F54" s="22"/>
      <c r="G54" s="22" t="s">
        <v>119</v>
      </c>
      <c r="H54" s="22"/>
      <c r="I54" s="12" t="str">
        <f aca="false">IF(AND(Entreprise!$C$13="Essentiel",M54=0),"Hors parcours",IF(AND(G54="Exclure",H54&lt;&gt;""),"Non",IF(G54="Inclure","Oui",IF(AND(G54="Auto",Entreprise!$C$25="Non"),"Non","Oui"))))</f>
        <v>Oui</v>
      </c>
      <c r="J54" s="14" t="n">
        <f aca="false">IF(T54=0,0,VLOOKUP(E54,Barèmes!$B$6:$C$11,2,FALSE()))</f>
        <v>0</v>
      </c>
      <c r="K54" s="24" t="n">
        <v>2</v>
      </c>
      <c r="L54" s="2" t="n">
        <v>0</v>
      </c>
      <c r="M54" s="2" t="n">
        <v>0</v>
      </c>
      <c r="N54" s="2" t="s">
        <v>267</v>
      </c>
      <c r="O54" s="16" t="n">
        <f aca="false">P54*J54</f>
        <v>0</v>
      </c>
      <c r="P54" s="16" t="n">
        <f aca="false">IF(I54="Oui",K54,0)</f>
        <v>2</v>
      </c>
      <c r="Q54" s="16" t="n">
        <f aca="false">P54-O54</f>
        <v>2</v>
      </c>
      <c r="R54" s="2" t="str">
        <f aca="false">IF(I54&lt;&gt;"Oui","Hors périmètre",IF(Q54=0,"Maintenir",IF(U54=1,"P1",IF(K54=3,"P2",IF(K54=2,"P3","P4")))))</f>
        <v>P3</v>
      </c>
      <c r="S54" s="2" t="n">
        <f aca="false">IF(OR(I54&lt;&gt;"Oui",Q54=0),0,COUNTIFS($R$8:$R$119,"&lt;"&amp;R54,$Q$8:$Q$119,"&gt;0")+COUNTIFS($R$8:$R$119,R54,$Q$8:$Q$119,"&gt;"&amp;Q54)+COUNTIFS($R$8:R54,R54,$Q$8:Q54,Q54))</f>
        <v>66</v>
      </c>
      <c r="T54" s="2" t="n">
        <f aca="false">IF(AND(I54="Oui",E54&lt;&gt;"",COUNTIFS(Barèmes!$B$6:$B$11,E54)=1),1,0)</f>
        <v>0</v>
      </c>
      <c r="U54" s="2" t="n">
        <f aca="false">IF(AND(I54="Oui",L54=1,J54&lt;Barèmes!$G$6),1,0)</f>
        <v>0</v>
      </c>
      <c r="V54" s="2" t="n">
        <f aca="false">IF(AND(I54="Oui",E54="Je ne sais pas"),1,0)</f>
        <v>0</v>
      </c>
      <c r="W54" s="2" t="n">
        <f aca="false">T54</f>
        <v>0</v>
      </c>
      <c r="X54" s="12" t="str">
        <f aca="false">IF(AND(G54="Exclure",H54=""),"Justifier l’exclusion",IF(AND(E54&lt;&gt;"",T54=0,I54="Oui"),"Réponse invalide",IF(AND(I54="Oui",G54="Auto",Entreprise!$C$25="À confirmer"),"Confirmer l’usage",IF(AND(E54="4 · Vérifié et suivi",F54="",I54="Oui"),"Preuve à référencer",""))))</f>
        <v>Confirmer l’usage</v>
      </c>
    </row>
    <row r="55" customFormat="false" ht="85.5" hidden="false" customHeight="true" outlineLevel="0" collapsed="false">
      <c r="A55" s="12" t="s">
        <v>268</v>
      </c>
      <c r="B55" s="12" t="s">
        <v>23</v>
      </c>
      <c r="C55" s="12" t="s">
        <v>269</v>
      </c>
      <c r="D55" s="12" t="s">
        <v>270</v>
      </c>
      <c r="E55" s="22"/>
      <c r="F55" s="22"/>
      <c r="G55" s="22" t="s">
        <v>119</v>
      </c>
      <c r="H55" s="22"/>
      <c r="I55" s="12" t="str">
        <f aca="false">IF(AND(Entreprise!$C$13="Essentiel",M55=0),"Hors parcours",IF(AND(G55="Exclure",H55&lt;&gt;""),"Non",IF(G55="Inclure","Oui",IF(AND(G55="Auto",Entreprise!$C$24="Non"),"Non","Oui"))))</f>
        <v>Oui</v>
      </c>
      <c r="J55" s="14" t="n">
        <f aca="false">IF(T55=0,0,VLOOKUP(E55,Barèmes!$B$6:$C$11,2,FALSE()))</f>
        <v>0</v>
      </c>
      <c r="K55" s="24" t="n">
        <v>1</v>
      </c>
      <c r="L55" s="2" t="n">
        <v>0</v>
      </c>
      <c r="M55" s="2" t="n">
        <v>0</v>
      </c>
      <c r="N55" s="2" t="s">
        <v>248</v>
      </c>
      <c r="O55" s="16" t="n">
        <f aca="false">P55*J55</f>
        <v>0</v>
      </c>
      <c r="P55" s="16" t="n">
        <f aca="false">IF(I55="Oui",K55,0)</f>
        <v>1</v>
      </c>
      <c r="Q55" s="16" t="n">
        <f aca="false">P55-O55</f>
        <v>1</v>
      </c>
      <c r="R55" s="2" t="str">
        <f aca="false">IF(I55&lt;&gt;"Oui","Hors périmètre",IF(Q55=0,"Maintenir",IF(U55=1,"P1",IF(K55=3,"P2",IF(K55=2,"P3","P4")))))</f>
        <v>P4</v>
      </c>
      <c r="S55" s="2" t="n">
        <f aca="false">IF(OR(I55&lt;&gt;"Oui",Q55=0),0,COUNTIFS($R$8:$R$119,"&lt;"&amp;R55,$Q$8:$Q$119,"&gt;0")+COUNTIFS($R$8:$R$119,R55,$Q$8:$Q$119,"&gt;"&amp;Q55)+COUNTIFS($R$8:R55,R55,$Q$8:Q55,Q55))</f>
        <v>108</v>
      </c>
      <c r="T55" s="2" t="n">
        <f aca="false">IF(AND(I55="Oui",E55&lt;&gt;"",COUNTIFS(Barèmes!$B$6:$B$11,E55)=1),1,0)</f>
        <v>0</v>
      </c>
      <c r="U55" s="2" t="n">
        <f aca="false">IF(AND(I55="Oui",L55=1,J55&lt;Barèmes!$G$6),1,0)</f>
        <v>0</v>
      </c>
      <c r="V55" s="2" t="n">
        <f aca="false">IF(AND(I55="Oui",E55="Je ne sais pas"),1,0)</f>
        <v>0</v>
      </c>
      <c r="W55" s="2" t="n">
        <f aca="false">T55</f>
        <v>0</v>
      </c>
      <c r="X55" s="12" t="str">
        <f aca="false">IF(AND(G55="Exclure",H55=""),"Justifier l’exclusion",IF(AND(E55&lt;&gt;"",T55=0,I55="Oui"),"Réponse invalide",IF(AND(I55="Oui",G55="Auto",Entreprise!$C$24="À confirmer"),"Confirmer l’usage",IF(AND(E55="4 · Vérifié et suivi",F55="",I55="Oui"),"Preuve à référencer",""))))</f>
        <v>Confirmer l’usage</v>
      </c>
    </row>
    <row r="56" customFormat="false" ht="85.5" hidden="false" customHeight="true" outlineLevel="0" collapsed="false">
      <c r="A56" s="12" t="s">
        <v>271</v>
      </c>
      <c r="B56" s="12" t="s">
        <v>25</v>
      </c>
      <c r="C56" s="12" t="s">
        <v>272</v>
      </c>
      <c r="D56" s="12" t="s">
        <v>273</v>
      </c>
      <c r="E56" s="22"/>
      <c r="F56" s="22"/>
      <c r="G56" s="22" t="s">
        <v>119</v>
      </c>
      <c r="H56" s="22"/>
      <c r="I56" s="12" t="str">
        <f aca="false">IF(AND(Entreprise!$C$13="Essentiel",M56=0),"Hors parcours",IF(AND(G56="Exclure",H56&lt;&gt;""),"Non",IF(G56="Inclure","Oui",IF(AND(G56="Auto",Entreprise!$C$20="Non"),"Non","Oui"))))</f>
        <v>Oui</v>
      </c>
      <c r="J56" s="14" t="n">
        <f aca="false">IF(T56=0,0,VLOOKUP(E56,Barèmes!$B$6:$C$11,2,FALSE()))</f>
        <v>0</v>
      </c>
      <c r="K56" s="24" t="n">
        <v>3</v>
      </c>
      <c r="L56" s="2" t="n">
        <v>0</v>
      </c>
      <c r="M56" s="2" t="n">
        <v>1</v>
      </c>
      <c r="N56" s="2" t="s">
        <v>120</v>
      </c>
      <c r="O56" s="16" t="n">
        <f aca="false">P56*J56</f>
        <v>0</v>
      </c>
      <c r="P56" s="16" t="n">
        <f aca="false">IF(I56="Oui",K56,0)</f>
        <v>3</v>
      </c>
      <c r="Q56" s="16" t="n">
        <f aca="false">P56-O56</f>
        <v>3</v>
      </c>
      <c r="R56" s="2" t="str">
        <f aca="false">IF(I56&lt;&gt;"Oui","Hors périmètre",IF(Q56=0,"Maintenir",IF(U56=1,"P1",IF(K56=3,"P2",IF(K56=2,"P3","P4")))))</f>
        <v>P2</v>
      </c>
      <c r="S56" s="2" t="n">
        <f aca="false">IF(OR(I56&lt;&gt;"Oui",Q56=0),0,COUNTIFS($R$8:$R$119,"&lt;"&amp;R56,$Q$8:$Q$119,"&gt;0")+COUNTIFS($R$8:$R$119,R56,$Q$8:$Q$119,"&gt;"&amp;Q56)+COUNTIFS($R$8:R56,R56,$Q$8:Q56,Q56))</f>
        <v>26</v>
      </c>
      <c r="T56" s="2" t="n">
        <f aca="false">IF(AND(I56="Oui",E56&lt;&gt;"",COUNTIFS(Barèmes!$B$6:$B$11,E56)=1),1,0)</f>
        <v>0</v>
      </c>
      <c r="U56" s="2" t="n">
        <f aca="false">IF(AND(I56="Oui",L56=1,J56&lt;Barèmes!$G$6),1,0)</f>
        <v>0</v>
      </c>
      <c r="V56" s="2" t="n">
        <f aca="false">IF(AND(I56="Oui",E56="Je ne sais pas"),1,0)</f>
        <v>0</v>
      </c>
      <c r="W56" s="2" t="n">
        <f aca="false">T56</f>
        <v>0</v>
      </c>
      <c r="X56" s="12" t="str">
        <f aca="false">IF(AND(G56="Exclure",H56=""),"Justifier l’exclusion",IF(AND(E56&lt;&gt;"",T56=0,I56="Oui"),"Réponse invalide",IF(AND(I56="Oui",G56="Auto",Entreprise!$C$20="À confirmer"),"Confirmer l’usage",IF(AND(E56="4 · Vérifié et suivi",F56="",I56="Oui"),"Preuve à référencer",""))))</f>
        <v/>
      </c>
    </row>
    <row r="57" customFormat="false" ht="85.5" hidden="false" customHeight="true" outlineLevel="0" collapsed="false">
      <c r="A57" s="12" t="s">
        <v>274</v>
      </c>
      <c r="B57" s="12" t="s">
        <v>25</v>
      </c>
      <c r="C57" s="12" t="s">
        <v>275</v>
      </c>
      <c r="D57" s="12" t="s">
        <v>276</v>
      </c>
      <c r="E57" s="22"/>
      <c r="F57" s="22"/>
      <c r="G57" s="22" t="s">
        <v>119</v>
      </c>
      <c r="H57" s="22"/>
      <c r="I57" s="12" t="str">
        <f aca="false">IF(AND(Entreprise!$C$13="Essentiel",M57=0),"Hors parcours",IF(AND(G57="Exclure",H57&lt;&gt;""),"Non",IF(G57="Inclure","Oui",IF(AND(G57="Auto",Entreprise!$C$20="Non"),"Non","Oui"))))</f>
        <v>Oui</v>
      </c>
      <c r="J57" s="14" t="n">
        <f aca="false">IF(T57=0,0,VLOOKUP(E57,Barèmes!$B$6:$C$11,2,FALSE()))</f>
        <v>0</v>
      </c>
      <c r="K57" s="24" t="n">
        <v>3</v>
      </c>
      <c r="L57" s="2" t="n">
        <v>1</v>
      </c>
      <c r="M57" s="2" t="n">
        <v>1</v>
      </c>
      <c r="N57" s="2" t="s">
        <v>120</v>
      </c>
      <c r="O57" s="16" t="n">
        <f aca="false">P57*J57</f>
        <v>0</v>
      </c>
      <c r="P57" s="16" t="n">
        <f aca="false">IF(I57="Oui",K57,0)</f>
        <v>3</v>
      </c>
      <c r="Q57" s="16" t="n">
        <f aca="false">P57-O57</f>
        <v>3</v>
      </c>
      <c r="R57" s="2" t="str">
        <f aca="false">IF(I57&lt;&gt;"Oui","Hors périmètre",IF(Q57=0,"Maintenir",IF(U57=1,"P1",IF(K57=3,"P2",IF(K57=2,"P3","P4")))))</f>
        <v>P1</v>
      </c>
      <c r="S57" s="2" t="n">
        <f aca="false">IF(OR(I57&lt;&gt;"Oui",Q57=0),0,COUNTIFS($R$8:$R$119,"&lt;"&amp;R57,$Q$8:$Q$119,"&gt;0")+COUNTIFS($R$8:$R$119,R57,$Q$8:$Q$119,"&gt;"&amp;Q57)+COUNTIFS($R$8:R57,R57,$Q$8:Q57,Q57))</f>
        <v>11</v>
      </c>
      <c r="T57" s="2" t="n">
        <f aca="false">IF(AND(I57="Oui",E57&lt;&gt;"",COUNTIFS(Barèmes!$B$6:$B$11,E57)=1),1,0)</f>
        <v>0</v>
      </c>
      <c r="U57" s="2" t="n">
        <f aca="false">IF(AND(I57="Oui",L57=1,J57&lt;Barèmes!$G$6),1,0)</f>
        <v>1</v>
      </c>
      <c r="V57" s="2" t="n">
        <f aca="false">IF(AND(I57="Oui",E57="Je ne sais pas"),1,0)</f>
        <v>0</v>
      </c>
      <c r="W57" s="2" t="n">
        <f aca="false">T57</f>
        <v>0</v>
      </c>
      <c r="X57" s="12" t="str">
        <f aca="false">IF(AND(G57="Exclure",H57=""),"Justifier l’exclusion",IF(AND(E57&lt;&gt;"",T57=0,I57="Oui"),"Réponse invalide",IF(AND(I57="Oui",G57="Auto",Entreprise!$C$20="À confirmer"),"Confirmer l’usage",IF(AND(E57="4 · Vérifié et suivi",F57="",I57="Oui"),"Preuve à référencer",""))))</f>
        <v/>
      </c>
    </row>
    <row r="58" customFormat="false" ht="85.5" hidden="false" customHeight="true" outlineLevel="0" collapsed="false">
      <c r="A58" s="12" t="s">
        <v>277</v>
      </c>
      <c r="B58" s="12" t="s">
        <v>25</v>
      </c>
      <c r="C58" s="12" t="s">
        <v>278</v>
      </c>
      <c r="D58" s="12" t="s">
        <v>279</v>
      </c>
      <c r="E58" s="22"/>
      <c r="F58" s="22"/>
      <c r="G58" s="22" t="s">
        <v>119</v>
      </c>
      <c r="H58" s="22"/>
      <c r="I58" s="12" t="str">
        <f aca="false">IF(AND(Entreprise!$C$13="Essentiel",M58=0),"Hors parcours",IF(AND(G58="Exclure",H58&lt;&gt;""),"Non",IF(G58="Inclure","Oui",IF(AND(G58="Auto",Entreprise!$C$20="Non"),"Non","Oui"))))</f>
        <v>Oui</v>
      </c>
      <c r="J58" s="14" t="n">
        <f aca="false">IF(T58=0,0,VLOOKUP(E58,Barèmes!$B$6:$C$11,2,FALSE()))</f>
        <v>0</v>
      </c>
      <c r="K58" s="24" t="n">
        <v>3</v>
      </c>
      <c r="L58" s="2" t="n">
        <v>0</v>
      </c>
      <c r="M58" s="2" t="n">
        <v>1</v>
      </c>
      <c r="N58" s="2" t="s">
        <v>120</v>
      </c>
      <c r="O58" s="16" t="n">
        <f aca="false">P58*J58</f>
        <v>0</v>
      </c>
      <c r="P58" s="16" t="n">
        <f aca="false">IF(I58="Oui",K58,0)</f>
        <v>3</v>
      </c>
      <c r="Q58" s="16" t="n">
        <f aca="false">P58-O58</f>
        <v>3</v>
      </c>
      <c r="R58" s="2" t="str">
        <f aca="false">IF(I58&lt;&gt;"Oui","Hors périmètre",IF(Q58=0,"Maintenir",IF(U58=1,"P1",IF(K58=3,"P2",IF(K58=2,"P3","P4")))))</f>
        <v>P2</v>
      </c>
      <c r="S58" s="2" t="n">
        <f aca="false">IF(OR(I58&lt;&gt;"Oui",Q58=0),0,COUNTIFS($R$8:$R$119,"&lt;"&amp;R58,$Q$8:$Q$119,"&gt;0")+COUNTIFS($R$8:$R$119,R58,$Q$8:$Q$119,"&gt;"&amp;Q58)+COUNTIFS($R$8:R58,R58,$Q$8:Q58,Q58))</f>
        <v>27</v>
      </c>
      <c r="T58" s="2" t="n">
        <f aca="false">IF(AND(I58="Oui",E58&lt;&gt;"",COUNTIFS(Barèmes!$B$6:$B$11,E58)=1),1,0)</f>
        <v>0</v>
      </c>
      <c r="U58" s="2" t="n">
        <f aca="false">IF(AND(I58="Oui",L58=1,J58&lt;Barèmes!$G$6),1,0)</f>
        <v>0</v>
      </c>
      <c r="V58" s="2" t="n">
        <f aca="false">IF(AND(I58="Oui",E58="Je ne sais pas"),1,0)</f>
        <v>0</v>
      </c>
      <c r="W58" s="2" t="n">
        <f aca="false">T58</f>
        <v>0</v>
      </c>
      <c r="X58" s="12" t="str">
        <f aca="false">IF(AND(G58="Exclure",H58=""),"Justifier l’exclusion",IF(AND(E58&lt;&gt;"",T58=0,I58="Oui"),"Réponse invalide",IF(AND(I58="Oui",G58="Auto",Entreprise!$C$20="À confirmer"),"Confirmer l’usage",IF(AND(E58="4 · Vérifié et suivi",F58="",I58="Oui"),"Preuve à référencer",""))))</f>
        <v/>
      </c>
    </row>
    <row r="59" customFormat="false" ht="85.5" hidden="false" customHeight="true" outlineLevel="0" collapsed="false">
      <c r="A59" s="12" t="s">
        <v>280</v>
      </c>
      <c r="B59" s="12" t="s">
        <v>25</v>
      </c>
      <c r="C59" s="12" t="s">
        <v>281</v>
      </c>
      <c r="D59" s="12" t="s">
        <v>282</v>
      </c>
      <c r="E59" s="22"/>
      <c r="F59" s="22"/>
      <c r="G59" s="22" t="s">
        <v>119</v>
      </c>
      <c r="H59" s="22"/>
      <c r="I59" s="12" t="str">
        <f aca="false">IF(AND(Entreprise!$C$13="Essentiel",M59=0),"Hors parcours",IF(AND(G59="Exclure",H59&lt;&gt;""),"Non",IF(G59="Inclure","Oui",IF(AND(G59="Auto",Entreprise!$C$27="Non"),"Non","Oui"))))</f>
        <v>Oui</v>
      </c>
      <c r="J59" s="14" t="n">
        <f aca="false">IF(T59=0,0,VLOOKUP(E59,Barèmes!$B$6:$C$11,2,FALSE()))</f>
        <v>0</v>
      </c>
      <c r="K59" s="24" t="n">
        <v>2</v>
      </c>
      <c r="L59" s="2" t="n">
        <v>0</v>
      </c>
      <c r="M59" s="2" t="n">
        <v>0</v>
      </c>
      <c r="N59" s="2" t="s">
        <v>161</v>
      </c>
      <c r="O59" s="16" t="n">
        <f aca="false">P59*J59</f>
        <v>0</v>
      </c>
      <c r="P59" s="16" t="n">
        <f aca="false">IF(I59="Oui",K59,0)</f>
        <v>2</v>
      </c>
      <c r="Q59" s="16" t="n">
        <f aca="false">P59-O59</f>
        <v>2</v>
      </c>
      <c r="R59" s="2" t="str">
        <f aca="false">IF(I59&lt;&gt;"Oui","Hors périmètre",IF(Q59=0,"Maintenir",IF(U59=1,"P1",IF(K59=3,"P2",IF(K59=2,"P3","P4")))))</f>
        <v>P3</v>
      </c>
      <c r="S59" s="2" t="n">
        <f aca="false">IF(OR(I59&lt;&gt;"Oui",Q59=0),0,COUNTIFS($R$8:$R$119,"&lt;"&amp;R59,$Q$8:$Q$119,"&gt;0")+COUNTIFS($R$8:$R$119,R59,$Q$8:$Q$119,"&gt;"&amp;Q59)+COUNTIFS($R$8:R59,R59,$Q$8:Q59,Q59))</f>
        <v>67</v>
      </c>
      <c r="T59" s="2" t="n">
        <f aca="false">IF(AND(I59="Oui",E59&lt;&gt;"",COUNTIFS(Barèmes!$B$6:$B$11,E59)=1),1,0)</f>
        <v>0</v>
      </c>
      <c r="U59" s="2" t="n">
        <f aca="false">IF(AND(I59="Oui",L59=1,J59&lt;Barèmes!$G$6),1,0)</f>
        <v>0</v>
      </c>
      <c r="V59" s="2" t="n">
        <f aca="false">IF(AND(I59="Oui",E59="Je ne sais pas"),1,0)</f>
        <v>0</v>
      </c>
      <c r="W59" s="2" t="n">
        <f aca="false">T59</f>
        <v>0</v>
      </c>
      <c r="X59" s="12" t="str">
        <f aca="false">IF(AND(G59="Exclure",H59=""),"Justifier l’exclusion",IF(AND(E59&lt;&gt;"",T59=0,I59="Oui"),"Réponse invalide",IF(AND(I59="Oui",G59="Auto",Entreprise!$C$27="À confirmer"),"Confirmer l’usage",IF(AND(E59="4 · Vérifié et suivi",F59="",I59="Oui"),"Preuve à référencer",""))))</f>
        <v>Confirmer l’usage</v>
      </c>
    </row>
    <row r="60" customFormat="false" ht="85.5" hidden="false" customHeight="true" outlineLevel="0" collapsed="false">
      <c r="A60" s="12" t="s">
        <v>283</v>
      </c>
      <c r="B60" s="12" t="s">
        <v>25</v>
      </c>
      <c r="C60" s="12" t="s">
        <v>284</v>
      </c>
      <c r="D60" s="12" t="s">
        <v>285</v>
      </c>
      <c r="E60" s="22"/>
      <c r="F60" s="22"/>
      <c r="G60" s="22" t="s">
        <v>119</v>
      </c>
      <c r="H60" s="22"/>
      <c r="I60" s="12" t="str">
        <f aca="false">IF(AND(Entreprise!$C$13="Essentiel",M60=0),"Hors parcours",IF(AND(G60="Exclure",H60&lt;&gt;""),"Non",IF(G60="Inclure","Oui",IF(AND(G60="Auto",Entreprise!$C$26="Non"),"Non","Oui"))))</f>
        <v>Oui</v>
      </c>
      <c r="J60" s="14" t="n">
        <f aca="false">IF(T60=0,0,VLOOKUP(E60,Barèmes!$B$6:$C$11,2,FALSE()))</f>
        <v>0</v>
      </c>
      <c r="K60" s="24" t="n">
        <v>3</v>
      </c>
      <c r="L60" s="2" t="n">
        <v>0</v>
      </c>
      <c r="M60" s="2" t="n">
        <v>0</v>
      </c>
      <c r="N60" s="2" t="s">
        <v>216</v>
      </c>
      <c r="O60" s="16" t="n">
        <f aca="false">P60*J60</f>
        <v>0</v>
      </c>
      <c r="P60" s="16" t="n">
        <f aca="false">IF(I60="Oui",K60,0)</f>
        <v>3</v>
      </c>
      <c r="Q60" s="16" t="n">
        <f aca="false">P60-O60</f>
        <v>3</v>
      </c>
      <c r="R60" s="2" t="str">
        <f aca="false">IF(I60&lt;&gt;"Oui","Hors périmètre",IF(Q60=0,"Maintenir",IF(U60=1,"P1",IF(K60=3,"P2",IF(K60=2,"P3","P4")))))</f>
        <v>P2</v>
      </c>
      <c r="S60" s="2" t="n">
        <f aca="false">IF(OR(I60&lt;&gt;"Oui",Q60=0),0,COUNTIFS($R$8:$R$119,"&lt;"&amp;R60,$Q$8:$Q$119,"&gt;0")+COUNTIFS($R$8:$R$119,R60,$Q$8:$Q$119,"&gt;"&amp;Q60)+COUNTIFS($R$8:R60,R60,$Q$8:Q60,Q60))</f>
        <v>28</v>
      </c>
      <c r="T60" s="2" t="n">
        <f aca="false">IF(AND(I60="Oui",E60&lt;&gt;"",COUNTIFS(Barèmes!$B$6:$B$11,E60)=1),1,0)</f>
        <v>0</v>
      </c>
      <c r="U60" s="2" t="n">
        <f aca="false">IF(AND(I60="Oui",L60=1,J60&lt;Barèmes!$G$6),1,0)</f>
        <v>0</v>
      </c>
      <c r="V60" s="2" t="n">
        <f aca="false">IF(AND(I60="Oui",E60="Je ne sais pas"),1,0)</f>
        <v>0</v>
      </c>
      <c r="W60" s="2" t="n">
        <f aca="false">T60</f>
        <v>0</v>
      </c>
      <c r="X60" s="12" t="str">
        <f aca="false">IF(AND(G60="Exclure",H60=""),"Justifier l’exclusion",IF(AND(E60&lt;&gt;"",T60=0,I60="Oui"),"Réponse invalide",IF(AND(I60="Oui",G60="Auto",Entreprise!$C$26="À confirmer"),"Confirmer l’usage",IF(AND(E60="4 · Vérifié et suivi",F60="",I60="Oui"),"Preuve à référencer",""))))</f>
        <v>Confirmer l’usage</v>
      </c>
    </row>
    <row r="61" customFormat="false" ht="85.5" hidden="false" customHeight="true" outlineLevel="0" collapsed="false">
      <c r="A61" s="12" t="s">
        <v>286</v>
      </c>
      <c r="B61" s="12" t="s">
        <v>25</v>
      </c>
      <c r="C61" s="12" t="s">
        <v>287</v>
      </c>
      <c r="D61" s="12" t="s">
        <v>288</v>
      </c>
      <c r="E61" s="22"/>
      <c r="F61" s="22"/>
      <c r="G61" s="22" t="s">
        <v>119</v>
      </c>
      <c r="H61" s="22"/>
      <c r="I61" s="12" t="str">
        <f aca="false">IF(AND(Entreprise!$C$13="Essentiel",M61=0),"Hors parcours",IF(AND(G61="Exclure",H61&lt;&gt;""),"Non",IF(G61="Inclure","Oui",IF(AND(G61="Auto",Entreprise!$C$20="Non"),"Non","Oui"))))</f>
        <v>Oui</v>
      </c>
      <c r="J61" s="14" t="n">
        <f aca="false">IF(T61=0,0,VLOOKUP(E61,Barèmes!$B$6:$C$11,2,FALSE()))</f>
        <v>0</v>
      </c>
      <c r="K61" s="24" t="n">
        <v>2</v>
      </c>
      <c r="L61" s="2" t="n">
        <v>0</v>
      </c>
      <c r="M61" s="2" t="n">
        <v>0</v>
      </c>
      <c r="N61" s="2" t="s">
        <v>120</v>
      </c>
      <c r="O61" s="16" t="n">
        <f aca="false">P61*J61</f>
        <v>0</v>
      </c>
      <c r="P61" s="16" t="n">
        <f aca="false">IF(I61="Oui",K61,0)</f>
        <v>2</v>
      </c>
      <c r="Q61" s="16" t="n">
        <f aca="false">P61-O61</f>
        <v>2</v>
      </c>
      <c r="R61" s="2" t="str">
        <f aca="false">IF(I61&lt;&gt;"Oui","Hors périmètre",IF(Q61=0,"Maintenir",IF(U61=1,"P1",IF(K61=3,"P2",IF(K61=2,"P3","P4")))))</f>
        <v>P3</v>
      </c>
      <c r="S61" s="2" t="n">
        <f aca="false">IF(OR(I61&lt;&gt;"Oui",Q61=0),0,COUNTIFS($R$8:$R$119,"&lt;"&amp;R61,$Q$8:$Q$119,"&gt;0")+COUNTIFS($R$8:$R$119,R61,$Q$8:$Q$119,"&gt;"&amp;Q61)+COUNTIFS($R$8:R61,R61,$Q$8:Q61,Q61))</f>
        <v>68</v>
      </c>
      <c r="T61" s="2" t="n">
        <f aca="false">IF(AND(I61="Oui",E61&lt;&gt;"",COUNTIFS(Barèmes!$B$6:$B$11,E61)=1),1,0)</f>
        <v>0</v>
      </c>
      <c r="U61" s="2" t="n">
        <f aca="false">IF(AND(I61="Oui",L61=1,J61&lt;Barèmes!$G$6),1,0)</f>
        <v>0</v>
      </c>
      <c r="V61" s="2" t="n">
        <f aca="false">IF(AND(I61="Oui",E61="Je ne sais pas"),1,0)</f>
        <v>0</v>
      </c>
      <c r="W61" s="2" t="n">
        <f aca="false">T61</f>
        <v>0</v>
      </c>
      <c r="X61" s="12" t="str">
        <f aca="false">IF(AND(G61="Exclure",H61=""),"Justifier l’exclusion",IF(AND(E61&lt;&gt;"",T61=0,I61="Oui"),"Réponse invalide",IF(AND(I61="Oui",G61="Auto",Entreprise!$C$20="À confirmer"),"Confirmer l’usage",IF(AND(E61="4 · Vérifié et suivi",F61="",I61="Oui"),"Preuve à référencer",""))))</f>
        <v/>
      </c>
    </row>
    <row r="62" customFormat="false" ht="85.5" hidden="false" customHeight="true" outlineLevel="0" collapsed="false">
      <c r="A62" s="12" t="s">
        <v>289</v>
      </c>
      <c r="B62" s="12" t="s">
        <v>25</v>
      </c>
      <c r="C62" s="12" t="s">
        <v>290</v>
      </c>
      <c r="D62" s="12" t="s">
        <v>291</v>
      </c>
      <c r="E62" s="22"/>
      <c r="F62" s="22"/>
      <c r="G62" s="22" t="s">
        <v>119</v>
      </c>
      <c r="H62" s="22"/>
      <c r="I62" s="12" t="str">
        <f aca="false">IF(AND(Entreprise!$C$13="Essentiel",M62=0),"Hors parcours",IF(AND(G62="Exclure",H62&lt;&gt;""),"Non",IF(G62="Inclure","Oui",IF(AND(G62="Auto",Entreprise!$C$20="Non"),"Non","Oui"))))</f>
        <v>Oui</v>
      </c>
      <c r="J62" s="14" t="n">
        <f aca="false">IF(T62=0,0,VLOOKUP(E62,Barèmes!$B$6:$C$11,2,FALSE()))</f>
        <v>0</v>
      </c>
      <c r="K62" s="24" t="n">
        <v>2</v>
      </c>
      <c r="L62" s="2" t="n">
        <v>0</v>
      </c>
      <c r="M62" s="2" t="n">
        <v>0</v>
      </c>
      <c r="N62" s="2" t="s">
        <v>120</v>
      </c>
      <c r="O62" s="16" t="n">
        <f aca="false">P62*J62</f>
        <v>0</v>
      </c>
      <c r="P62" s="16" t="n">
        <f aca="false">IF(I62="Oui",K62,0)</f>
        <v>2</v>
      </c>
      <c r="Q62" s="16" t="n">
        <f aca="false">P62-O62</f>
        <v>2</v>
      </c>
      <c r="R62" s="2" t="str">
        <f aca="false">IF(I62&lt;&gt;"Oui","Hors périmètre",IF(Q62=0,"Maintenir",IF(U62=1,"P1",IF(K62=3,"P2",IF(K62=2,"P3","P4")))))</f>
        <v>P3</v>
      </c>
      <c r="S62" s="2" t="n">
        <f aca="false">IF(OR(I62&lt;&gt;"Oui",Q62=0),0,COUNTIFS($R$8:$R$119,"&lt;"&amp;R62,$Q$8:$Q$119,"&gt;0")+COUNTIFS($R$8:$R$119,R62,$Q$8:$Q$119,"&gt;"&amp;Q62)+COUNTIFS($R$8:R62,R62,$Q$8:Q62,Q62))</f>
        <v>69</v>
      </c>
      <c r="T62" s="2" t="n">
        <f aca="false">IF(AND(I62="Oui",E62&lt;&gt;"",COUNTIFS(Barèmes!$B$6:$B$11,E62)=1),1,0)</f>
        <v>0</v>
      </c>
      <c r="U62" s="2" t="n">
        <f aca="false">IF(AND(I62="Oui",L62=1,J62&lt;Barèmes!$G$6),1,0)</f>
        <v>0</v>
      </c>
      <c r="V62" s="2" t="n">
        <f aca="false">IF(AND(I62="Oui",E62="Je ne sais pas"),1,0)</f>
        <v>0</v>
      </c>
      <c r="W62" s="2" t="n">
        <f aca="false">T62</f>
        <v>0</v>
      </c>
      <c r="X62" s="12" t="str">
        <f aca="false">IF(AND(G62="Exclure",H62=""),"Justifier l’exclusion",IF(AND(E62&lt;&gt;"",T62=0,I62="Oui"),"Réponse invalide",IF(AND(I62="Oui",G62="Auto",Entreprise!$C$20="À confirmer"),"Confirmer l’usage",IF(AND(E62="4 · Vérifié et suivi",F62="",I62="Oui"),"Preuve à référencer",""))))</f>
        <v/>
      </c>
    </row>
    <row r="63" customFormat="false" ht="85.5" hidden="false" customHeight="true" outlineLevel="0" collapsed="false">
      <c r="A63" s="12" t="s">
        <v>292</v>
      </c>
      <c r="B63" s="12" t="s">
        <v>25</v>
      </c>
      <c r="C63" s="12" t="s">
        <v>293</v>
      </c>
      <c r="D63" s="12" t="s">
        <v>294</v>
      </c>
      <c r="E63" s="22"/>
      <c r="F63" s="22"/>
      <c r="G63" s="22" t="s">
        <v>119</v>
      </c>
      <c r="H63" s="22"/>
      <c r="I63" s="12" t="str">
        <f aca="false">IF(AND(Entreprise!$C$13="Essentiel",M63=0),"Hors parcours",IF(AND(G63="Exclure",H63&lt;&gt;""),"Non",IF(G63="Inclure","Oui",IF(AND(G63="Auto",Entreprise!$C$20="Non"),"Non","Oui"))))</f>
        <v>Oui</v>
      </c>
      <c r="J63" s="14" t="n">
        <f aca="false">IF(T63=0,0,VLOOKUP(E63,Barèmes!$B$6:$C$11,2,FALSE()))</f>
        <v>0</v>
      </c>
      <c r="K63" s="24" t="n">
        <v>2</v>
      </c>
      <c r="L63" s="2" t="n">
        <v>0</v>
      </c>
      <c r="M63" s="2" t="n">
        <v>0</v>
      </c>
      <c r="N63" s="2" t="s">
        <v>120</v>
      </c>
      <c r="O63" s="16" t="n">
        <f aca="false">P63*J63</f>
        <v>0</v>
      </c>
      <c r="P63" s="16" t="n">
        <f aca="false">IF(I63="Oui",K63,0)</f>
        <v>2</v>
      </c>
      <c r="Q63" s="16" t="n">
        <f aca="false">P63-O63</f>
        <v>2</v>
      </c>
      <c r="R63" s="2" t="str">
        <f aca="false">IF(I63&lt;&gt;"Oui","Hors périmètre",IF(Q63=0,"Maintenir",IF(U63=1,"P1",IF(K63=3,"P2",IF(K63=2,"P3","P4")))))</f>
        <v>P3</v>
      </c>
      <c r="S63" s="2" t="n">
        <f aca="false">IF(OR(I63&lt;&gt;"Oui",Q63=0),0,COUNTIFS($R$8:$R$119,"&lt;"&amp;R63,$Q$8:$Q$119,"&gt;0")+COUNTIFS($R$8:$R$119,R63,$Q$8:$Q$119,"&gt;"&amp;Q63)+COUNTIFS($R$8:R63,R63,$Q$8:Q63,Q63))</f>
        <v>70</v>
      </c>
      <c r="T63" s="2" t="n">
        <f aca="false">IF(AND(I63="Oui",E63&lt;&gt;"",COUNTIFS(Barèmes!$B$6:$B$11,E63)=1),1,0)</f>
        <v>0</v>
      </c>
      <c r="U63" s="2" t="n">
        <f aca="false">IF(AND(I63="Oui",L63=1,J63&lt;Barèmes!$G$6),1,0)</f>
        <v>0</v>
      </c>
      <c r="V63" s="2" t="n">
        <f aca="false">IF(AND(I63="Oui",E63="Je ne sais pas"),1,0)</f>
        <v>0</v>
      </c>
      <c r="W63" s="2" t="n">
        <f aca="false">T63</f>
        <v>0</v>
      </c>
      <c r="X63" s="12" t="str">
        <f aca="false">IF(AND(G63="Exclure",H63=""),"Justifier l’exclusion",IF(AND(E63&lt;&gt;"",T63=0,I63="Oui"),"Réponse invalide",IF(AND(I63="Oui",G63="Auto",Entreprise!$C$20="À confirmer"),"Confirmer l’usage",IF(AND(E63="4 · Vérifié et suivi",F63="",I63="Oui"),"Preuve à référencer",""))))</f>
        <v/>
      </c>
    </row>
    <row r="64" customFormat="false" ht="85.5" hidden="false" customHeight="true" outlineLevel="0" collapsed="false">
      <c r="A64" s="12" t="s">
        <v>295</v>
      </c>
      <c r="B64" s="12" t="s">
        <v>26</v>
      </c>
      <c r="C64" s="12" t="s">
        <v>296</v>
      </c>
      <c r="D64" s="12" t="s">
        <v>297</v>
      </c>
      <c r="E64" s="22"/>
      <c r="F64" s="22"/>
      <c r="G64" s="22" t="s">
        <v>119</v>
      </c>
      <c r="H64" s="22"/>
      <c r="I64" s="12" t="str">
        <f aca="false">IF(AND(Entreprise!$C$13="Essentiel",M64=0),"Hors parcours",IF(AND(G64="Exclure",H64&lt;&gt;""),"Non",IF(G64="Inclure","Oui",IF(AND(G64="Auto",Entreprise!$C$20="Non"),"Non","Oui"))))</f>
        <v>Oui</v>
      </c>
      <c r="J64" s="14" t="n">
        <f aca="false">IF(T64=0,0,VLOOKUP(E64,Barèmes!$B$6:$C$11,2,FALSE()))</f>
        <v>0</v>
      </c>
      <c r="K64" s="24" t="n">
        <v>3</v>
      </c>
      <c r="L64" s="2" t="n">
        <v>1</v>
      </c>
      <c r="M64" s="2" t="n">
        <v>1</v>
      </c>
      <c r="N64" s="2" t="s">
        <v>120</v>
      </c>
      <c r="O64" s="16" t="n">
        <f aca="false">P64*J64</f>
        <v>0</v>
      </c>
      <c r="P64" s="16" t="n">
        <f aca="false">IF(I64="Oui",K64,0)</f>
        <v>3</v>
      </c>
      <c r="Q64" s="16" t="n">
        <f aca="false">P64-O64</f>
        <v>3</v>
      </c>
      <c r="R64" s="2" t="str">
        <f aca="false">IF(I64&lt;&gt;"Oui","Hors périmètre",IF(Q64=0,"Maintenir",IF(U64=1,"P1",IF(K64=3,"P2",IF(K64=2,"P3","P4")))))</f>
        <v>P1</v>
      </c>
      <c r="S64" s="2" t="n">
        <f aca="false">IF(OR(I64&lt;&gt;"Oui",Q64=0),0,COUNTIFS($R$8:$R$119,"&lt;"&amp;R64,$Q$8:$Q$119,"&gt;0")+COUNTIFS($R$8:$R$119,R64,$Q$8:$Q$119,"&gt;"&amp;Q64)+COUNTIFS($R$8:R64,R64,$Q$8:Q64,Q64))</f>
        <v>12</v>
      </c>
      <c r="T64" s="2" t="n">
        <f aca="false">IF(AND(I64="Oui",E64&lt;&gt;"",COUNTIFS(Barèmes!$B$6:$B$11,E64)=1),1,0)</f>
        <v>0</v>
      </c>
      <c r="U64" s="2" t="n">
        <f aca="false">IF(AND(I64="Oui",L64=1,J64&lt;Barèmes!$G$6),1,0)</f>
        <v>1</v>
      </c>
      <c r="V64" s="2" t="n">
        <f aca="false">IF(AND(I64="Oui",E64="Je ne sais pas"),1,0)</f>
        <v>0</v>
      </c>
      <c r="W64" s="2" t="n">
        <f aca="false">T64</f>
        <v>0</v>
      </c>
      <c r="X64" s="12" t="str">
        <f aca="false">IF(AND(G64="Exclure",H64=""),"Justifier l’exclusion",IF(AND(E64&lt;&gt;"",T64=0,I64="Oui"),"Réponse invalide",IF(AND(I64="Oui",G64="Auto",Entreprise!$C$20="À confirmer"),"Confirmer l’usage",IF(AND(E64="4 · Vérifié et suivi",F64="",I64="Oui"),"Preuve à référencer",""))))</f>
        <v/>
      </c>
    </row>
    <row r="65" customFormat="false" ht="85.5" hidden="false" customHeight="true" outlineLevel="0" collapsed="false">
      <c r="A65" s="12" t="s">
        <v>298</v>
      </c>
      <c r="B65" s="12" t="s">
        <v>26</v>
      </c>
      <c r="C65" s="12" t="s">
        <v>299</v>
      </c>
      <c r="D65" s="12" t="s">
        <v>300</v>
      </c>
      <c r="E65" s="22"/>
      <c r="F65" s="22"/>
      <c r="G65" s="22" t="s">
        <v>119</v>
      </c>
      <c r="H65" s="22"/>
      <c r="I65" s="12" t="str">
        <f aca="false">IF(AND(Entreprise!$C$13="Essentiel",M65=0),"Hors parcours",IF(AND(G65="Exclure",H65&lt;&gt;""),"Non",IF(G65="Inclure","Oui",IF(AND(G65="Auto",Entreprise!$C$20="Non"),"Non","Oui"))))</f>
        <v>Oui</v>
      </c>
      <c r="J65" s="14" t="n">
        <f aca="false">IF(T65=0,0,VLOOKUP(E65,Barèmes!$B$6:$C$11,2,FALSE()))</f>
        <v>0</v>
      </c>
      <c r="K65" s="24" t="n">
        <v>3</v>
      </c>
      <c r="L65" s="2" t="n">
        <v>1</v>
      </c>
      <c r="M65" s="2" t="n">
        <v>1</v>
      </c>
      <c r="N65" s="2" t="s">
        <v>120</v>
      </c>
      <c r="O65" s="16" t="n">
        <f aca="false">P65*J65</f>
        <v>0</v>
      </c>
      <c r="P65" s="16" t="n">
        <f aca="false">IF(I65="Oui",K65,0)</f>
        <v>3</v>
      </c>
      <c r="Q65" s="16" t="n">
        <f aca="false">P65-O65</f>
        <v>3</v>
      </c>
      <c r="R65" s="2" t="str">
        <f aca="false">IF(I65&lt;&gt;"Oui","Hors périmètre",IF(Q65=0,"Maintenir",IF(U65=1,"P1",IF(K65=3,"P2",IF(K65=2,"P3","P4")))))</f>
        <v>P1</v>
      </c>
      <c r="S65" s="2" t="n">
        <f aca="false">IF(OR(I65&lt;&gt;"Oui",Q65=0),0,COUNTIFS($R$8:$R$119,"&lt;"&amp;R65,$Q$8:$Q$119,"&gt;0")+COUNTIFS($R$8:$R$119,R65,$Q$8:$Q$119,"&gt;"&amp;Q65)+COUNTIFS($R$8:R65,R65,$Q$8:Q65,Q65))</f>
        <v>13</v>
      </c>
      <c r="T65" s="2" t="n">
        <f aca="false">IF(AND(I65="Oui",E65&lt;&gt;"",COUNTIFS(Barèmes!$B$6:$B$11,E65)=1),1,0)</f>
        <v>0</v>
      </c>
      <c r="U65" s="2" t="n">
        <f aca="false">IF(AND(I65="Oui",L65=1,J65&lt;Barèmes!$G$6),1,0)</f>
        <v>1</v>
      </c>
      <c r="V65" s="2" t="n">
        <f aca="false">IF(AND(I65="Oui",E65="Je ne sais pas"),1,0)</f>
        <v>0</v>
      </c>
      <c r="W65" s="2" t="n">
        <f aca="false">T65</f>
        <v>0</v>
      </c>
      <c r="X65" s="12" t="str">
        <f aca="false">IF(AND(G65="Exclure",H65=""),"Justifier l’exclusion",IF(AND(E65&lt;&gt;"",T65=0,I65="Oui"),"Réponse invalide",IF(AND(I65="Oui",G65="Auto",Entreprise!$C$20="À confirmer"),"Confirmer l’usage",IF(AND(E65="4 · Vérifié et suivi",F65="",I65="Oui"),"Preuve à référencer",""))))</f>
        <v/>
      </c>
    </row>
    <row r="66" customFormat="false" ht="85.5" hidden="false" customHeight="true" outlineLevel="0" collapsed="false">
      <c r="A66" s="12" t="s">
        <v>301</v>
      </c>
      <c r="B66" s="12" t="s">
        <v>26</v>
      </c>
      <c r="C66" s="12" t="s">
        <v>302</v>
      </c>
      <c r="D66" s="12" t="s">
        <v>303</v>
      </c>
      <c r="E66" s="22"/>
      <c r="F66" s="22"/>
      <c r="G66" s="22" t="s">
        <v>119</v>
      </c>
      <c r="H66" s="22"/>
      <c r="I66" s="12" t="str">
        <f aca="false">IF(AND(Entreprise!$C$13="Essentiel",M66=0),"Hors parcours",IF(AND(G66="Exclure",H66&lt;&gt;""),"Non",IF(G66="Inclure","Oui",IF(AND(G66="Auto",Entreprise!$C$20="Non"),"Non","Oui"))))</f>
        <v>Oui</v>
      </c>
      <c r="J66" s="14" t="n">
        <f aca="false">IF(T66=0,0,VLOOKUP(E66,Barèmes!$B$6:$C$11,2,FALSE()))</f>
        <v>0</v>
      </c>
      <c r="K66" s="24" t="n">
        <v>3</v>
      </c>
      <c r="L66" s="2" t="n">
        <v>1</v>
      </c>
      <c r="M66" s="2" t="n">
        <v>1</v>
      </c>
      <c r="N66" s="2" t="s">
        <v>120</v>
      </c>
      <c r="O66" s="16" t="n">
        <f aca="false">P66*J66</f>
        <v>0</v>
      </c>
      <c r="P66" s="16" t="n">
        <f aca="false">IF(I66="Oui",K66,0)</f>
        <v>3</v>
      </c>
      <c r="Q66" s="16" t="n">
        <f aca="false">P66-O66</f>
        <v>3</v>
      </c>
      <c r="R66" s="2" t="str">
        <f aca="false">IF(I66&lt;&gt;"Oui","Hors périmètre",IF(Q66=0,"Maintenir",IF(U66=1,"P1",IF(K66=3,"P2",IF(K66=2,"P3","P4")))))</f>
        <v>P1</v>
      </c>
      <c r="S66" s="2" t="n">
        <f aca="false">IF(OR(I66&lt;&gt;"Oui",Q66=0),0,COUNTIFS($R$8:$R$119,"&lt;"&amp;R66,$Q$8:$Q$119,"&gt;0")+COUNTIFS($R$8:$R$119,R66,$Q$8:$Q$119,"&gt;"&amp;Q66)+COUNTIFS($R$8:R66,R66,$Q$8:Q66,Q66))</f>
        <v>14</v>
      </c>
      <c r="T66" s="2" t="n">
        <f aca="false">IF(AND(I66="Oui",E66&lt;&gt;"",COUNTIFS(Barèmes!$B$6:$B$11,E66)=1),1,0)</f>
        <v>0</v>
      </c>
      <c r="U66" s="2" t="n">
        <f aca="false">IF(AND(I66="Oui",L66=1,J66&lt;Barèmes!$G$6),1,0)</f>
        <v>1</v>
      </c>
      <c r="V66" s="2" t="n">
        <f aca="false">IF(AND(I66="Oui",E66="Je ne sais pas"),1,0)</f>
        <v>0</v>
      </c>
      <c r="W66" s="2" t="n">
        <f aca="false">T66</f>
        <v>0</v>
      </c>
      <c r="X66" s="12" t="str">
        <f aca="false">IF(AND(G66="Exclure",H66=""),"Justifier l’exclusion",IF(AND(E66&lt;&gt;"",T66=0,I66="Oui"),"Réponse invalide",IF(AND(I66="Oui",G66="Auto",Entreprise!$C$20="À confirmer"),"Confirmer l’usage",IF(AND(E66="4 · Vérifié et suivi",F66="",I66="Oui"),"Preuve à référencer",""))))</f>
        <v/>
      </c>
    </row>
    <row r="67" customFormat="false" ht="85.5" hidden="false" customHeight="true" outlineLevel="0" collapsed="false">
      <c r="A67" s="12" t="s">
        <v>304</v>
      </c>
      <c r="B67" s="12" t="s">
        <v>26</v>
      </c>
      <c r="C67" s="12" t="s">
        <v>305</v>
      </c>
      <c r="D67" s="12" t="s">
        <v>306</v>
      </c>
      <c r="E67" s="22"/>
      <c r="F67" s="22"/>
      <c r="G67" s="22" t="s">
        <v>119</v>
      </c>
      <c r="H67" s="22"/>
      <c r="I67" s="12" t="str">
        <f aca="false">IF(AND(Entreprise!$C$13="Essentiel",M67=0),"Hors parcours",IF(AND(G67="Exclure",H67&lt;&gt;""),"Non",IF(G67="Inclure","Oui",IF(AND(G67="Auto",Entreprise!$C$20="Non"),"Non","Oui"))))</f>
        <v>Oui</v>
      </c>
      <c r="J67" s="14" t="n">
        <f aca="false">IF(T67=0,0,VLOOKUP(E67,Barèmes!$B$6:$C$11,2,FALSE()))</f>
        <v>0</v>
      </c>
      <c r="K67" s="24" t="n">
        <v>3</v>
      </c>
      <c r="L67" s="2" t="n">
        <v>0</v>
      </c>
      <c r="M67" s="2" t="n">
        <v>0</v>
      </c>
      <c r="N67" s="2" t="s">
        <v>120</v>
      </c>
      <c r="O67" s="16" t="n">
        <f aca="false">P67*J67</f>
        <v>0</v>
      </c>
      <c r="P67" s="16" t="n">
        <f aca="false">IF(I67="Oui",K67,0)</f>
        <v>3</v>
      </c>
      <c r="Q67" s="16" t="n">
        <f aca="false">P67-O67</f>
        <v>3</v>
      </c>
      <c r="R67" s="2" t="str">
        <f aca="false">IF(I67&lt;&gt;"Oui","Hors périmètre",IF(Q67=0,"Maintenir",IF(U67=1,"P1",IF(K67=3,"P2",IF(K67=2,"P3","P4")))))</f>
        <v>P2</v>
      </c>
      <c r="S67" s="2" t="n">
        <f aca="false">IF(OR(I67&lt;&gt;"Oui",Q67=0),0,COUNTIFS($R$8:$R$119,"&lt;"&amp;R67,$Q$8:$Q$119,"&gt;0")+COUNTIFS($R$8:$R$119,R67,$Q$8:$Q$119,"&gt;"&amp;Q67)+COUNTIFS($R$8:R67,R67,$Q$8:Q67,Q67))</f>
        <v>29</v>
      </c>
      <c r="T67" s="2" t="n">
        <f aca="false">IF(AND(I67="Oui",E67&lt;&gt;"",COUNTIFS(Barèmes!$B$6:$B$11,E67)=1),1,0)</f>
        <v>0</v>
      </c>
      <c r="U67" s="2" t="n">
        <f aca="false">IF(AND(I67="Oui",L67=1,J67&lt;Barèmes!$G$6),1,0)</f>
        <v>0</v>
      </c>
      <c r="V67" s="2" t="n">
        <f aca="false">IF(AND(I67="Oui",E67="Je ne sais pas"),1,0)</f>
        <v>0</v>
      </c>
      <c r="W67" s="2" t="n">
        <f aca="false">T67</f>
        <v>0</v>
      </c>
      <c r="X67" s="12" t="str">
        <f aca="false">IF(AND(G67="Exclure",H67=""),"Justifier l’exclusion",IF(AND(E67&lt;&gt;"",T67=0,I67="Oui"),"Réponse invalide",IF(AND(I67="Oui",G67="Auto",Entreprise!$C$20="À confirmer"),"Confirmer l’usage",IF(AND(E67="4 · Vérifié et suivi",F67="",I67="Oui"),"Preuve à référencer",""))))</f>
        <v/>
      </c>
    </row>
    <row r="68" customFormat="false" ht="85.5" hidden="false" customHeight="true" outlineLevel="0" collapsed="false">
      <c r="A68" s="12" t="s">
        <v>307</v>
      </c>
      <c r="B68" s="12" t="s">
        <v>26</v>
      </c>
      <c r="C68" s="12" t="s">
        <v>308</v>
      </c>
      <c r="D68" s="12" t="s">
        <v>309</v>
      </c>
      <c r="E68" s="22"/>
      <c r="F68" s="22"/>
      <c r="G68" s="22" t="s">
        <v>119</v>
      </c>
      <c r="H68" s="22"/>
      <c r="I68" s="12" t="str">
        <f aca="false">IF(AND(Entreprise!$C$13="Essentiel",M68=0),"Hors parcours",IF(AND(G68="Exclure",H68&lt;&gt;""),"Non",IF(G68="Inclure","Oui",IF(AND(G68="Auto",Entreprise!$C$20="Non"),"Non","Oui"))))</f>
        <v>Oui</v>
      </c>
      <c r="J68" s="14" t="n">
        <f aca="false">IF(T68=0,0,VLOOKUP(E68,Barèmes!$B$6:$C$11,2,FALSE()))</f>
        <v>0</v>
      </c>
      <c r="K68" s="24" t="n">
        <v>2</v>
      </c>
      <c r="L68" s="2" t="n">
        <v>0</v>
      </c>
      <c r="M68" s="2" t="n">
        <v>0</v>
      </c>
      <c r="N68" s="2" t="s">
        <v>120</v>
      </c>
      <c r="O68" s="16" t="n">
        <f aca="false">P68*J68</f>
        <v>0</v>
      </c>
      <c r="P68" s="16" t="n">
        <f aca="false">IF(I68="Oui",K68,0)</f>
        <v>2</v>
      </c>
      <c r="Q68" s="16" t="n">
        <f aca="false">P68-O68</f>
        <v>2</v>
      </c>
      <c r="R68" s="2" t="str">
        <f aca="false">IF(I68&lt;&gt;"Oui","Hors périmètre",IF(Q68=0,"Maintenir",IF(U68=1,"P1",IF(K68=3,"P2",IF(K68=2,"P3","P4")))))</f>
        <v>P3</v>
      </c>
      <c r="S68" s="2" t="n">
        <f aca="false">IF(OR(I68&lt;&gt;"Oui",Q68=0),0,COUNTIFS($R$8:$R$119,"&lt;"&amp;R68,$Q$8:$Q$119,"&gt;0")+COUNTIFS($R$8:$R$119,R68,$Q$8:$Q$119,"&gt;"&amp;Q68)+COUNTIFS($R$8:R68,R68,$Q$8:Q68,Q68))</f>
        <v>71</v>
      </c>
      <c r="T68" s="2" t="n">
        <f aca="false">IF(AND(I68="Oui",E68&lt;&gt;"",COUNTIFS(Barèmes!$B$6:$B$11,E68)=1),1,0)</f>
        <v>0</v>
      </c>
      <c r="U68" s="2" t="n">
        <f aca="false">IF(AND(I68="Oui",L68=1,J68&lt;Barèmes!$G$6),1,0)</f>
        <v>0</v>
      </c>
      <c r="V68" s="2" t="n">
        <f aca="false">IF(AND(I68="Oui",E68="Je ne sais pas"),1,0)</f>
        <v>0</v>
      </c>
      <c r="W68" s="2" t="n">
        <f aca="false">T68</f>
        <v>0</v>
      </c>
      <c r="X68" s="12" t="str">
        <f aca="false">IF(AND(G68="Exclure",H68=""),"Justifier l’exclusion",IF(AND(E68&lt;&gt;"",T68=0,I68="Oui"),"Réponse invalide",IF(AND(I68="Oui",G68="Auto",Entreprise!$C$20="À confirmer"),"Confirmer l’usage",IF(AND(E68="4 · Vérifié et suivi",F68="",I68="Oui"),"Preuve à référencer",""))))</f>
        <v/>
      </c>
    </row>
    <row r="69" customFormat="false" ht="85.5" hidden="false" customHeight="true" outlineLevel="0" collapsed="false">
      <c r="A69" s="12" t="s">
        <v>310</v>
      </c>
      <c r="B69" s="12" t="s">
        <v>26</v>
      </c>
      <c r="C69" s="12" t="s">
        <v>311</v>
      </c>
      <c r="D69" s="12" t="s">
        <v>312</v>
      </c>
      <c r="E69" s="22"/>
      <c r="F69" s="22"/>
      <c r="G69" s="22" t="s">
        <v>119</v>
      </c>
      <c r="H69" s="22"/>
      <c r="I69" s="12" t="str">
        <f aca="false">IF(AND(Entreprise!$C$13="Essentiel",M69=0),"Hors parcours",IF(AND(G69="Exclure",H69&lt;&gt;""),"Non",IF(G69="Inclure","Oui",IF(AND(G69="Auto",Entreprise!$C$20="Non"),"Non","Oui"))))</f>
        <v>Oui</v>
      </c>
      <c r="J69" s="14" t="n">
        <f aca="false">IF(T69=0,0,VLOOKUP(E69,Barèmes!$B$6:$C$11,2,FALSE()))</f>
        <v>0</v>
      </c>
      <c r="K69" s="24" t="n">
        <v>2</v>
      </c>
      <c r="L69" s="2" t="n">
        <v>0</v>
      </c>
      <c r="M69" s="2" t="n">
        <v>0</v>
      </c>
      <c r="N69" s="2" t="s">
        <v>120</v>
      </c>
      <c r="O69" s="16" t="n">
        <f aca="false">P69*J69</f>
        <v>0</v>
      </c>
      <c r="P69" s="16" t="n">
        <f aca="false">IF(I69="Oui",K69,0)</f>
        <v>2</v>
      </c>
      <c r="Q69" s="16" t="n">
        <f aca="false">P69-O69</f>
        <v>2</v>
      </c>
      <c r="R69" s="2" t="str">
        <f aca="false">IF(I69&lt;&gt;"Oui","Hors périmètre",IF(Q69=0,"Maintenir",IF(U69=1,"P1",IF(K69=3,"P2",IF(K69=2,"P3","P4")))))</f>
        <v>P3</v>
      </c>
      <c r="S69" s="2" t="n">
        <f aca="false">IF(OR(I69&lt;&gt;"Oui",Q69=0),0,COUNTIFS($R$8:$R$119,"&lt;"&amp;R69,$Q$8:$Q$119,"&gt;0")+COUNTIFS($R$8:$R$119,R69,$Q$8:$Q$119,"&gt;"&amp;Q69)+COUNTIFS($R$8:R69,R69,$Q$8:Q69,Q69))</f>
        <v>72</v>
      </c>
      <c r="T69" s="2" t="n">
        <f aca="false">IF(AND(I69="Oui",E69&lt;&gt;"",COUNTIFS(Barèmes!$B$6:$B$11,E69)=1),1,0)</f>
        <v>0</v>
      </c>
      <c r="U69" s="2" t="n">
        <f aca="false">IF(AND(I69="Oui",L69=1,J69&lt;Barèmes!$G$6),1,0)</f>
        <v>0</v>
      </c>
      <c r="V69" s="2" t="n">
        <f aca="false">IF(AND(I69="Oui",E69="Je ne sais pas"),1,0)</f>
        <v>0</v>
      </c>
      <c r="W69" s="2" t="n">
        <f aca="false">T69</f>
        <v>0</v>
      </c>
      <c r="X69" s="12" t="str">
        <f aca="false">IF(AND(G69="Exclure",H69=""),"Justifier l’exclusion",IF(AND(E69&lt;&gt;"",T69=0,I69="Oui"),"Réponse invalide",IF(AND(I69="Oui",G69="Auto",Entreprise!$C$20="À confirmer"),"Confirmer l’usage",IF(AND(E69="4 · Vérifié et suivi",F69="",I69="Oui"),"Preuve à référencer",""))))</f>
        <v/>
      </c>
    </row>
    <row r="70" customFormat="false" ht="85.5" hidden="false" customHeight="true" outlineLevel="0" collapsed="false">
      <c r="A70" s="12" t="s">
        <v>313</v>
      </c>
      <c r="B70" s="12" t="s">
        <v>26</v>
      </c>
      <c r="C70" s="12" t="s">
        <v>314</v>
      </c>
      <c r="D70" s="12" t="s">
        <v>315</v>
      </c>
      <c r="E70" s="22"/>
      <c r="F70" s="22"/>
      <c r="G70" s="22" t="s">
        <v>119</v>
      </c>
      <c r="H70" s="22"/>
      <c r="I70" s="12" t="str">
        <f aca="false">IF(AND(Entreprise!$C$13="Essentiel",M70=0),"Hors parcours",IF(AND(G70="Exclure",H70&lt;&gt;""),"Non",IF(G70="Inclure","Oui",IF(AND(G70="Auto",Entreprise!$C$26="Non"),"Non","Oui"))))</f>
        <v>Oui</v>
      </c>
      <c r="J70" s="14" t="n">
        <f aca="false">IF(T70=0,0,VLOOKUP(E70,Barèmes!$B$6:$C$11,2,FALSE()))</f>
        <v>0</v>
      </c>
      <c r="K70" s="24" t="n">
        <v>2</v>
      </c>
      <c r="L70" s="2" t="n">
        <v>0</v>
      </c>
      <c r="M70" s="2" t="n">
        <v>0</v>
      </c>
      <c r="N70" s="2" t="s">
        <v>216</v>
      </c>
      <c r="O70" s="16" t="n">
        <f aca="false">P70*J70</f>
        <v>0</v>
      </c>
      <c r="P70" s="16" t="n">
        <f aca="false">IF(I70="Oui",K70,0)</f>
        <v>2</v>
      </c>
      <c r="Q70" s="16" t="n">
        <f aca="false">P70-O70</f>
        <v>2</v>
      </c>
      <c r="R70" s="2" t="str">
        <f aca="false">IF(I70&lt;&gt;"Oui","Hors périmètre",IF(Q70=0,"Maintenir",IF(U70=1,"P1",IF(K70=3,"P2",IF(K70=2,"P3","P4")))))</f>
        <v>P3</v>
      </c>
      <c r="S70" s="2" t="n">
        <f aca="false">IF(OR(I70&lt;&gt;"Oui",Q70=0),0,COUNTIFS($R$8:$R$119,"&lt;"&amp;R70,$Q$8:$Q$119,"&gt;0")+COUNTIFS($R$8:$R$119,R70,$Q$8:$Q$119,"&gt;"&amp;Q70)+COUNTIFS($R$8:R70,R70,$Q$8:Q70,Q70))</f>
        <v>73</v>
      </c>
      <c r="T70" s="2" t="n">
        <f aca="false">IF(AND(I70="Oui",E70&lt;&gt;"",COUNTIFS(Barèmes!$B$6:$B$11,E70)=1),1,0)</f>
        <v>0</v>
      </c>
      <c r="U70" s="2" t="n">
        <f aca="false">IF(AND(I70="Oui",L70=1,J70&lt;Barèmes!$G$6),1,0)</f>
        <v>0</v>
      </c>
      <c r="V70" s="2" t="n">
        <f aca="false">IF(AND(I70="Oui",E70="Je ne sais pas"),1,0)</f>
        <v>0</v>
      </c>
      <c r="W70" s="2" t="n">
        <f aca="false">T70</f>
        <v>0</v>
      </c>
      <c r="X70" s="12" t="str">
        <f aca="false">IF(AND(G70="Exclure",H70=""),"Justifier l’exclusion",IF(AND(E70&lt;&gt;"",T70=0,I70="Oui"),"Réponse invalide",IF(AND(I70="Oui",G70="Auto",Entreprise!$C$26="À confirmer"),"Confirmer l’usage",IF(AND(E70="4 · Vérifié et suivi",F70="",I70="Oui"),"Preuve à référencer",""))))</f>
        <v>Confirmer l’usage</v>
      </c>
    </row>
    <row r="71" customFormat="false" ht="85.5" hidden="false" customHeight="true" outlineLevel="0" collapsed="false">
      <c r="A71" s="12" t="s">
        <v>316</v>
      </c>
      <c r="B71" s="12" t="s">
        <v>26</v>
      </c>
      <c r="C71" s="12" t="s">
        <v>317</v>
      </c>
      <c r="D71" s="12" t="s">
        <v>318</v>
      </c>
      <c r="E71" s="22"/>
      <c r="F71" s="22"/>
      <c r="G71" s="22" t="s">
        <v>119</v>
      </c>
      <c r="H71" s="22"/>
      <c r="I71" s="12" t="str">
        <f aca="false">IF(AND(Entreprise!$C$13="Essentiel",M71=0),"Hors parcours",IF(AND(G71="Exclure",H71&lt;&gt;""),"Non",IF(G71="Inclure","Oui",IF(AND(G71="Auto",Entreprise!$C$20="Non"),"Non","Oui"))))</f>
        <v>Oui</v>
      </c>
      <c r="J71" s="14" t="n">
        <f aca="false">IF(T71=0,0,VLOOKUP(E71,Barèmes!$B$6:$C$11,2,FALSE()))</f>
        <v>0</v>
      </c>
      <c r="K71" s="24" t="n">
        <v>2</v>
      </c>
      <c r="L71" s="2" t="n">
        <v>0</v>
      </c>
      <c r="M71" s="2" t="n">
        <v>0</v>
      </c>
      <c r="N71" s="2" t="s">
        <v>120</v>
      </c>
      <c r="O71" s="16" t="n">
        <f aca="false">P71*J71</f>
        <v>0</v>
      </c>
      <c r="P71" s="16" t="n">
        <f aca="false">IF(I71="Oui",K71,0)</f>
        <v>2</v>
      </c>
      <c r="Q71" s="16" t="n">
        <f aca="false">P71-O71</f>
        <v>2</v>
      </c>
      <c r="R71" s="2" t="str">
        <f aca="false">IF(I71&lt;&gt;"Oui","Hors périmètre",IF(Q71=0,"Maintenir",IF(U71=1,"P1",IF(K71=3,"P2",IF(K71=2,"P3","P4")))))</f>
        <v>P3</v>
      </c>
      <c r="S71" s="2" t="n">
        <f aca="false">IF(OR(I71&lt;&gt;"Oui",Q71=0),0,COUNTIFS($R$8:$R$119,"&lt;"&amp;R71,$Q$8:$Q$119,"&gt;0")+COUNTIFS($R$8:$R$119,R71,$Q$8:$Q$119,"&gt;"&amp;Q71)+COUNTIFS($R$8:R71,R71,$Q$8:Q71,Q71))</f>
        <v>74</v>
      </c>
      <c r="T71" s="2" t="n">
        <f aca="false">IF(AND(I71="Oui",E71&lt;&gt;"",COUNTIFS(Barèmes!$B$6:$B$11,E71)=1),1,0)</f>
        <v>0</v>
      </c>
      <c r="U71" s="2" t="n">
        <f aca="false">IF(AND(I71="Oui",L71=1,J71&lt;Barèmes!$G$6),1,0)</f>
        <v>0</v>
      </c>
      <c r="V71" s="2" t="n">
        <f aca="false">IF(AND(I71="Oui",E71="Je ne sais pas"),1,0)</f>
        <v>0</v>
      </c>
      <c r="W71" s="2" t="n">
        <f aca="false">T71</f>
        <v>0</v>
      </c>
      <c r="X71" s="12" t="str">
        <f aca="false">IF(AND(G71="Exclure",H71=""),"Justifier l’exclusion",IF(AND(E71&lt;&gt;"",T71=0,I71="Oui"),"Réponse invalide",IF(AND(I71="Oui",G71="Auto",Entreprise!$C$20="À confirmer"),"Confirmer l’usage",IF(AND(E71="4 · Vérifié et suivi",F71="",I71="Oui"),"Preuve à référencer",""))))</f>
        <v/>
      </c>
    </row>
    <row r="72" customFormat="false" ht="85.5" hidden="false" customHeight="true" outlineLevel="0" collapsed="false">
      <c r="A72" s="12" t="s">
        <v>319</v>
      </c>
      <c r="B72" s="12" t="s">
        <v>27</v>
      </c>
      <c r="C72" s="12" t="s">
        <v>320</v>
      </c>
      <c r="D72" s="12" t="s">
        <v>321</v>
      </c>
      <c r="E72" s="22"/>
      <c r="F72" s="22"/>
      <c r="G72" s="22" t="s">
        <v>119</v>
      </c>
      <c r="H72" s="22"/>
      <c r="I72" s="12" t="str">
        <f aca="false">IF(AND(Entreprise!$C$13="Essentiel",M72=0),"Hors parcours",IF(AND(G72="Exclure",H72&lt;&gt;""),"Non",IF(G72="Inclure","Oui",IF(AND(G72="Auto",Entreprise!$C$20="Non"),"Non","Oui"))))</f>
        <v>Oui</v>
      </c>
      <c r="J72" s="14" t="n">
        <f aca="false">IF(T72=0,0,VLOOKUP(E72,Barèmes!$B$6:$C$11,2,FALSE()))</f>
        <v>0</v>
      </c>
      <c r="K72" s="24" t="n">
        <v>3</v>
      </c>
      <c r="L72" s="2" t="n">
        <v>0</v>
      </c>
      <c r="M72" s="2" t="n">
        <v>1</v>
      </c>
      <c r="N72" s="2" t="s">
        <v>120</v>
      </c>
      <c r="O72" s="16" t="n">
        <f aca="false">P72*J72</f>
        <v>0</v>
      </c>
      <c r="P72" s="16" t="n">
        <f aca="false">IF(I72="Oui",K72,0)</f>
        <v>3</v>
      </c>
      <c r="Q72" s="16" t="n">
        <f aca="false">P72-O72</f>
        <v>3</v>
      </c>
      <c r="R72" s="2" t="str">
        <f aca="false">IF(I72&lt;&gt;"Oui","Hors périmètre",IF(Q72=0,"Maintenir",IF(U72=1,"P1",IF(K72=3,"P2",IF(K72=2,"P3","P4")))))</f>
        <v>P2</v>
      </c>
      <c r="S72" s="2" t="n">
        <f aca="false">IF(OR(I72&lt;&gt;"Oui",Q72=0),0,COUNTIFS($R$8:$R$119,"&lt;"&amp;R72,$Q$8:$Q$119,"&gt;0")+COUNTIFS($R$8:$R$119,R72,$Q$8:$Q$119,"&gt;"&amp;Q72)+COUNTIFS($R$8:R72,R72,$Q$8:Q72,Q72))</f>
        <v>30</v>
      </c>
      <c r="T72" s="2" t="n">
        <f aca="false">IF(AND(I72="Oui",E72&lt;&gt;"",COUNTIFS(Barèmes!$B$6:$B$11,E72)=1),1,0)</f>
        <v>0</v>
      </c>
      <c r="U72" s="2" t="n">
        <f aca="false">IF(AND(I72="Oui",L72=1,J72&lt;Barèmes!$G$6),1,0)</f>
        <v>0</v>
      </c>
      <c r="V72" s="2" t="n">
        <f aca="false">IF(AND(I72="Oui",E72="Je ne sais pas"),1,0)</f>
        <v>0</v>
      </c>
      <c r="W72" s="2" t="n">
        <f aca="false">T72</f>
        <v>0</v>
      </c>
      <c r="X72" s="12" t="str">
        <f aca="false">IF(AND(G72="Exclure",H72=""),"Justifier l’exclusion",IF(AND(E72&lt;&gt;"",T72=0,I72="Oui"),"Réponse invalide",IF(AND(I72="Oui",G72="Auto",Entreprise!$C$20="À confirmer"),"Confirmer l’usage",IF(AND(E72="4 · Vérifié et suivi",F72="",I72="Oui"),"Preuve à référencer",""))))</f>
        <v/>
      </c>
    </row>
    <row r="73" customFormat="false" ht="85.5" hidden="false" customHeight="true" outlineLevel="0" collapsed="false">
      <c r="A73" s="12" t="s">
        <v>322</v>
      </c>
      <c r="B73" s="12" t="s">
        <v>27</v>
      </c>
      <c r="C73" s="12" t="s">
        <v>323</v>
      </c>
      <c r="D73" s="12" t="s">
        <v>324</v>
      </c>
      <c r="E73" s="22"/>
      <c r="F73" s="22"/>
      <c r="G73" s="22" t="s">
        <v>119</v>
      </c>
      <c r="H73" s="22"/>
      <c r="I73" s="12" t="str">
        <f aca="false">IF(AND(Entreprise!$C$13="Essentiel",M73=0),"Hors parcours",IF(AND(G73="Exclure",H73&lt;&gt;""),"Non",IF(G73="Inclure","Oui",IF(AND(G73="Auto",Entreprise!$C$26="Non"),"Non","Oui"))))</f>
        <v>Oui</v>
      </c>
      <c r="J73" s="14" t="n">
        <f aca="false">IF(T73=0,0,VLOOKUP(E73,Barèmes!$B$6:$C$11,2,FALSE()))</f>
        <v>0</v>
      </c>
      <c r="K73" s="24" t="n">
        <v>3</v>
      </c>
      <c r="L73" s="2" t="n">
        <v>0</v>
      </c>
      <c r="M73" s="2" t="n">
        <v>1</v>
      </c>
      <c r="N73" s="2" t="s">
        <v>216</v>
      </c>
      <c r="O73" s="16" t="n">
        <f aca="false">P73*J73</f>
        <v>0</v>
      </c>
      <c r="P73" s="16" t="n">
        <f aca="false">IF(I73="Oui",K73,0)</f>
        <v>3</v>
      </c>
      <c r="Q73" s="16" t="n">
        <f aca="false">P73-O73</f>
        <v>3</v>
      </c>
      <c r="R73" s="2" t="str">
        <f aca="false">IF(I73&lt;&gt;"Oui","Hors périmètre",IF(Q73=0,"Maintenir",IF(U73=1,"P1",IF(K73=3,"P2",IF(K73=2,"P3","P4")))))</f>
        <v>P2</v>
      </c>
      <c r="S73" s="2" t="n">
        <f aca="false">IF(OR(I73&lt;&gt;"Oui",Q73=0),0,COUNTIFS($R$8:$R$119,"&lt;"&amp;R73,$Q$8:$Q$119,"&gt;0")+COUNTIFS($R$8:$R$119,R73,$Q$8:$Q$119,"&gt;"&amp;Q73)+COUNTIFS($R$8:R73,R73,$Q$8:Q73,Q73))</f>
        <v>31</v>
      </c>
      <c r="T73" s="2" t="n">
        <f aca="false">IF(AND(I73="Oui",E73&lt;&gt;"",COUNTIFS(Barèmes!$B$6:$B$11,E73)=1),1,0)</f>
        <v>0</v>
      </c>
      <c r="U73" s="2" t="n">
        <f aca="false">IF(AND(I73="Oui",L73=1,J73&lt;Barèmes!$G$6),1,0)</f>
        <v>0</v>
      </c>
      <c r="V73" s="2" t="n">
        <f aca="false">IF(AND(I73="Oui",E73="Je ne sais pas"),1,0)</f>
        <v>0</v>
      </c>
      <c r="W73" s="2" t="n">
        <f aca="false">T73</f>
        <v>0</v>
      </c>
      <c r="X73" s="12" t="str">
        <f aca="false">IF(AND(G73="Exclure",H73=""),"Justifier l’exclusion",IF(AND(E73&lt;&gt;"",T73=0,I73="Oui"),"Réponse invalide",IF(AND(I73="Oui",G73="Auto",Entreprise!$C$26="À confirmer"),"Confirmer l’usage",IF(AND(E73="4 · Vérifié et suivi",F73="",I73="Oui"),"Preuve à référencer",""))))</f>
        <v>Confirmer l’usage</v>
      </c>
    </row>
    <row r="74" customFormat="false" ht="85.5" hidden="false" customHeight="true" outlineLevel="0" collapsed="false">
      <c r="A74" s="12" t="s">
        <v>325</v>
      </c>
      <c r="B74" s="12" t="s">
        <v>27</v>
      </c>
      <c r="C74" s="12" t="s">
        <v>326</v>
      </c>
      <c r="D74" s="12" t="s">
        <v>327</v>
      </c>
      <c r="E74" s="22"/>
      <c r="F74" s="22"/>
      <c r="G74" s="22" t="s">
        <v>119</v>
      </c>
      <c r="H74" s="22"/>
      <c r="I74" s="12" t="str">
        <f aca="false">IF(AND(Entreprise!$C$13="Essentiel",M74=0),"Hors parcours",IF(AND(G74="Exclure",H74&lt;&gt;""),"Non",IF(G74="Inclure","Oui",IF(AND(G74="Auto",Entreprise!$C$20="Non"),"Non","Oui"))))</f>
        <v>Oui</v>
      </c>
      <c r="J74" s="14" t="n">
        <f aca="false">IF(T74=0,0,VLOOKUP(E74,Barèmes!$B$6:$C$11,2,FALSE()))</f>
        <v>0</v>
      </c>
      <c r="K74" s="24" t="n">
        <v>2</v>
      </c>
      <c r="L74" s="2" t="n">
        <v>0</v>
      </c>
      <c r="M74" s="2" t="n">
        <v>0</v>
      </c>
      <c r="N74" s="2" t="s">
        <v>120</v>
      </c>
      <c r="O74" s="16" t="n">
        <f aca="false">P74*J74</f>
        <v>0</v>
      </c>
      <c r="P74" s="16" t="n">
        <f aca="false">IF(I74="Oui",K74,0)</f>
        <v>2</v>
      </c>
      <c r="Q74" s="16" t="n">
        <f aca="false">P74-O74</f>
        <v>2</v>
      </c>
      <c r="R74" s="2" t="str">
        <f aca="false">IF(I74&lt;&gt;"Oui","Hors périmètre",IF(Q74=0,"Maintenir",IF(U74=1,"P1",IF(K74=3,"P2",IF(K74=2,"P3","P4")))))</f>
        <v>P3</v>
      </c>
      <c r="S74" s="2" t="n">
        <f aca="false">IF(OR(I74&lt;&gt;"Oui",Q74=0),0,COUNTIFS($R$8:$R$119,"&lt;"&amp;R74,$Q$8:$Q$119,"&gt;0")+COUNTIFS($R$8:$R$119,R74,$Q$8:$Q$119,"&gt;"&amp;Q74)+COUNTIFS($R$8:R74,R74,$Q$8:Q74,Q74))</f>
        <v>75</v>
      </c>
      <c r="T74" s="2" t="n">
        <f aca="false">IF(AND(I74="Oui",E74&lt;&gt;"",COUNTIFS(Barèmes!$B$6:$B$11,E74)=1),1,0)</f>
        <v>0</v>
      </c>
      <c r="U74" s="2" t="n">
        <f aca="false">IF(AND(I74="Oui",L74=1,J74&lt;Barèmes!$G$6),1,0)</f>
        <v>0</v>
      </c>
      <c r="V74" s="2" t="n">
        <f aca="false">IF(AND(I74="Oui",E74="Je ne sais pas"),1,0)</f>
        <v>0</v>
      </c>
      <c r="W74" s="2" t="n">
        <f aca="false">T74</f>
        <v>0</v>
      </c>
      <c r="X74" s="12" t="str">
        <f aca="false">IF(AND(G74="Exclure",H74=""),"Justifier l’exclusion",IF(AND(E74&lt;&gt;"",T74=0,I74="Oui"),"Réponse invalide",IF(AND(I74="Oui",G74="Auto",Entreprise!$C$20="À confirmer"),"Confirmer l’usage",IF(AND(E74="4 · Vérifié et suivi",F74="",I74="Oui"),"Preuve à référencer",""))))</f>
        <v/>
      </c>
    </row>
    <row r="75" customFormat="false" ht="85.5" hidden="false" customHeight="true" outlineLevel="0" collapsed="false">
      <c r="A75" s="12" t="s">
        <v>328</v>
      </c>
      <c r="B75" s="12" t="s">
        <v>27</v>
      </c>
      <c r="C75" s="12" t="s">
        <v>329</v>
      </c>
      <c r="D75" s="12" t="s">
        <v>330</v>
      </c>
      <c r="E75" s="22"/>
      <c r="F75" s="22"/>
      <c r="G75" s="22" t="s">
        <v>119</v>
      </c>
      <c r="H75" s="22"/>
      <c r="I75" s="12" t="str">
        <f aca="false">IF(AND(Entreprise!$C$13="Essentiel",M75=0),"Hors parcours",IF(AND(G75="Exclure",H75&lt;&gt;""),"Non",IF(G75="Inclure","Oui",IF(AND(G75="Auto",Entreprise!$C$20="Non"),"Non","Oui"))))</f>
        <v>Oui</v>
      </c>
      <c r="J75" s="14" t="n">
        <f aca="false">IF(T75=0,0,VLOOKUP(E75,Barèmes!$B$6:$C$11,2,FALSE()))</f>
        <v>0</v>
      </c>
      <c r="K75" s="24" t="n">
        <v>2</v>
      </c>
      <c r="L75" s="2" t="n">
        <v>0</v>
      </c>
      <c r="M75" s="2" t="n">
        <v>0</v>
      </c>
      <c r="N75" s="2" t="s">
        <v>120</v>
      </c>
      <c r="O75" s="16" t="n">
        <f aca="false">P75*J75</f>
        <v>0</v>
      </c>
      <c r="P75" s="16" t="n">
        <f aca="false">IF(I75="Oui",K75,0)</f>
        <v>2</v>
      </c>
      <c r="Q75" s="16" t="n">
        <f aca="false">P75-O75</f>
        <v>2</v>
      </c>
      <c r="R75" s="2" t="str">
        <f aca="false">IF(I75&lt;&gt;"Oui","Hors périmètre",IF(Q75=0,"Maintenir",IF(U75=1,"P1",IF(K75=3,"P2",IF(K75=2,"P3","P4")))))</f>
        <v>P3</v>
      </c>
      <c r="S75" s="2" t="n">
        <f aca="false">IF(OR(I75&lt;&gt;"Oui",Q75=0),0,COUNTIFS($R$8:$R$119,"&lt;"&amp;R75,$Q$8:$Q$119,"&gt;0")+COUNTIFS($R$8:$R$119,R75,$Q$8:$Q$119,"&gt;"&amp;Q75)+COUNTIFS($R$8:R75,R75,$Q$8:Q75,Q75))</f>
        <v>76</v>
      </c>
      <c r="T75" s="2" t="n">
        <f aca="false">IF(AND(I75="Oui",E75&lt;&gt;"",COUNTIFS(Barèmes!$B$6:$B$11,E75)=1),1,0)</f>
        <v>0</v>
      </c>
      <c r="U75" s="2" t="n">
        <f aca="false">IF(AND(I75="Oui",L75=1,J75&lt;Barèmes!$G$6),1,0)</f>
        <v>0</v>
      </c>
      <c r="V75" s="2" t="n">
        <f aca="false">IF(AND(I75="Oui",E75="Je ne sais pas"),1,0)</f>
        <v>0</v>
      </c>
      <c r="W75" s="2" t="n">
        <f aca="false">T75</f>
        <v>0</v>
      </c>
      <c r="X75" s="12" t="str">
        <f aca="false">IF(AND(G75="Exclure",H75=""),"Justifier l’exclusion",IF(AND(E75&lt;&gt;"",T75=0,I75="Oui"),"Réponse invalide",IF(AND(I75="Oui",G75="Auto",Entreprise!$C$20="À confirmer"),"Confirmer l’usage",IF(AND(E75="4 · Vérifié et suivi",F75="",I75="Oui"),"Preuve à référencer",""))))</f>
        <v/>
      </c>
    </row>
    <row r="76" customFormat="false" ht="85.5" hidden="false" customHeight="true" outlineLevel="0" collapsed="false">
      <c r="A76" s="12" t="s">
        <v>331</v>
      </c>
      <c r="B76" s="12" t="s">
        <v>27</v>
      </c>
      <c r="C76" s="12" t="s">
        <v>332</v>
      </c>
      <c r="D76" s="12" t="s">
        <v>333</v>
      </c>
      <c r="E76" s="22"/>
      <c r="F76" s="22"/>
      <c r="G76" s="22" t="s">
        <v>119</v>
      </c>
      <c r="H76" s="22"/>
      <c r="I76" s="12" t="str">
        <f aca="false">IF(AND(Entreprise!$C$13="Essentiel",M76=0),"Hors parcours",IF(AND(G76="Exclure",H76&lt;&gt;""),"Non",IF(G76="Inclure","Oui",IF(AND(G76="Auto",Entreprise!$C$20="Non"),"Non","Oui"))))</f>
        <v>Oui</v>
      </c>
      <c r="J76" s="14" t="n">
        <f aca="false">IF(T76=0,0,VLOOKUP(E76,Barèmes!$B$6:$C$11,2,FALSE()))</f>
        <v>0</v>
      </c>
      <c r="K76" s="24" t="n">
        <v>2</v>
      </c>
      <c r="L76" s="2" t="n">
        <v>0</v>
      </c>
      <c r="M76" s="2" t="n">
        <v>0</v>
      </c>
      <c r="N76" s="2" t="s">
        <v>120</v>
      </c>
      <c r="O76" s="16" t="n">
        <f aca="false">P76*J76</f>
        <v>0</v>
      </c>
      <c r="P76" s="16" t="n">
        <f aca="false">IF(I76="Oui",K76,0)</f>
        <v>2</v>
      </c>
      <c r="Q76" s="16" t="n">
        <f aca="false">P76-O76</f>
        <v>2</v>
      </c>
      <c r="R76" s="2" t="str">
        <f aca="false">IF(I76&lt;&gt;"Oui","Hors périmètre",IF(Q76=0,"Maintenir",IF(U76=1,"P1",IF(K76=3,"P2",IF(K76=2,"P3","P4")))))</f>
        <v>P3</v>
      </c>
      <c r="S76" s="2" t="n">
        <f aca="false">IF(OR(I76&lt;&gt;"Oui",Q76=0),0,COUNTIFS($R$8:$R$119,"&lt;"&amp;R76,$Q$8:$Q$119,"&gt;0")+COUNTIFS($R$8:$R$119,R76,$Q$8:$Q$119,"&gt;"&amp;Q76)+COUNTIFS($R$8:R76,R76,$Q$8:Q76,Q76))</f>
        <v>77</v>
      </c>
      <c r="T76" s="2" t="n">
        <f aca="false">IF(AND(I76="Oui",E76&lt;&gt;"",COUNTIFS(Barèmes!$B$6:$B$11,E76)=1),1,0)</f>
        <v>0</v>
      </c>
      <c r="U76" s="2" t="n">
        <f aca="false">IF(AND(I76="Oui",L76=1,J76&lt;Barèmes!$G$6),1,0)</f>
        <v>0</v>
      </c>
      <c r="V76" s="2" t="n">
        <f aca="false">IF(AND(I76="Oui",E76="Je ne sais pas"),1,0)</f>
        <v>0</v>
      </c>
      <c r="W76" s="2" t="n">
        <f aca="false">T76</f>
        <v>0</v>
      </c>
      <c r="X76" s="12" t="str">
        <f aca="false">IF(AND(G76="Exclure",H76=""),"Justifier l’exclusion",IF(AND(E76&lt;&gt;"",T76=0,I76="Oui"),"Réponse invalide",IF(AND(I76="Oui",G76="Auto",Entreprise!$C$20="À confirmer"),"Confirmer l’usage",IF(AND(E76="4 · Vérifié et suivi",F76="",I76="Oui"),"Preuve à référencer",""))))</f>
        <v/>
      </c>
    </row>
    <row r="77" customFormat="false" ht="85.5" hidden="false" customHeight="true" outlineLevel="0" collapsed="false">
      <c r="A77" s="12" t="s">
        <v>334</v>
      </c>
      <c r="B77" s="12" t="s">
        <v>27</v>
      </c>
      <c r="C77" s="12" t="s">
        <v>335</v>
      </c>
      <c r="D77" s="12" t="s">
        <v>336</v>
      </c>
      <c r="E77" s="22"/>
      <c r="F77" s="22"/>
      <c r="G77" s="22" t="s">
        <v>119</v>
      </c>
      <c r="H77" s="22"/>
      <c r="I77" s="12" t="str">
        <f aca="false">IF(AND(Entreprise!$C$13="Essentiel",M77=0),"Hors parcours",IF(AND(G77="Exclure",H77&lt;&gt;""),"Non",IF(G77="Inclure","Oui",IF(AND(G77="Auto",Entreprise!$C$20="Non"),"Non","Oui"))))</f>
        <v>Oui</v>
      </c>
      <c r="J77" s="14" t="n">
        <f aca="false">IF(T77=0,0,VLOOKUP(E77,Barèmes!$B$6:$C$11,2,FALSE()))</f>
        <v>0</v>
      </c>
      <c r="K77" s="24" t="n">
        <v>2</v>
      </c>
      <c r="L77" s="2" t="n">
        <v>0</v>
      </c>
      <c r="M77" s="2" t="n">
        <v>0</v>
      </c>
      <c r="N77" s="2" t="s">
        <v>120</v>
      </c>
      <c r="O77" s="16" t="n">
        <f aca="false">P77*J77</f>
        <v>0</v>
      </c>
      <c r="P77" s="16" t="n">
        <f aca="false">IF(I77="Oui",K77,0)</f>
        <v>2</v>
      </c>
      <c r="Q77" s="16" t="n">
        <f aca="false">P77-O77</f>
        <v>2</v>
      </c>
      <c r="R77" s="2" t="str">
        <f aca="false">IF(I77&lt;&gt;"Oui","Hors périmètre",IF(Q77=0,"Maintenir",IF(U77=1,"P1",IF(K77=3,"P2",IF(K77=2,"P3","P4")))))</f>
        <v>P3</v>
      </c>
      <c r="S77" s="2" t="n">
        <f aca="false">IF(OR(I77&lt;&gt;"Oui",Q77=0),0,COUNTIFS($R$8:$R$119,"&lt;"&amp;R77,$Q$8:$Q$119,"&gt;0")+COUNTIFS($R$8:$R$119,R77,$Q$8:$Q$119,"&gt;"&amp;Q77)+COUNTIFS($R$8:R77,R77,$Q$8:Q77,Q77))</f>
        <v>78</v>
      </c>
      <c r="T77" s="2" t="n">
        <f aca="false">IF(AND(I77="Oui",E77&lt;&gt;"",COUNTIFS(Barèmes!$B$6:$B$11,E77)=1),1,0)</f>
        <v>0</v>
      </c>
      <c r="U77" s="2" t="n">
        <f aca="false">IF(AND(I77="Oui",L77=1,J77&lt;Barèmes!$G$6),1,0)</f>
        <v>0</v>
      </c>
      <c r="V77" s="2" t="n">
        <f aca="false">IF(AND(I77="Oui",E77="Je ne sais pas"),1,0)</f>
        <v>0</v>
      </c>
      <c r="W77" s="2" t="n">
        <f aca="false">T77</f>
        <v>0</v>
      </c>
      <c r="X77" s="12" t="str">
        <f aca="false">IF(AND(G77="Exclure",H77=""),"Justifier l’exclusion",IF(AND(E77&lt;&gt;"",T77=0,I77="Oui"),"Réponse invalide",IF(AND(I77="Oui",G77="Auto",Entreprise!$C$20="À confirmer"),"Confirmer l’usage",IF(AND(E77="4 · Vérifié et suivi",F77="",I77="Oui"),"Preuve à référencer",""))))</f>
        <v/>
      </c>
    </row>
    <row r="78" customFormat="false" ht="85.5" hidden="false" customHeight="true" outlineLevel="0" collapsed="false">
      <c r="A78" s="12" t="s">
        <v>337</v>
      </c>
      <c r="B78" s="12" t="s">
        <v>27</v>
      </c>
      <c r="C78" s="12" t="s">
        <v>338</v>
      </c>
      <c r="D78" s="12" t="s">
        <v>339</v>
      </c>
      <c r="E78" s="22"/>
      <c r="F78" s="22"/>
      <c r="G78" s="22" t="s">
        <v>119</v>
      </c>
      <c r="H78" s="22"/>
      <c r="I78" s="12" t="str">
        <f aca="false">IF(AND(Entreprise!$C$13="Essentiel",M78=0),"Hors parcours",IF(AND(G78="Exclure",H78&lt;&gt;""),"Non",IF(G78="Inclure","Oui",IF(AND(G78="Auto",Entreprise!$C$31="Non"),"Non","Oui"))))</f>
        <v>Oui</v>
      </c>
      <c r="J78" s="14" t="n">
        <f aca="false">IF(T78=0,0,VLOOKUP(E78,Barèmes!$B$6:$C$11,2,FALSE()))</f>
        <v>0</v>
      </c>
      <c r="K78" s="24" t="n">
        <v>2</v>
      </c>
      <c r="L78" s="2" t="n">
        <v>0</v>
      </c>
      <c r="M78" s="2" t="n">
        <v>0</v>
      </c>
      <c r="N78" s="2" t="s">
        <v>340</v>
      </c>
      <c r="O78" s="16" t="n">
        <f aca="false">P78*J78</f>
        <v>0</v>
      </c>
      <c r="P78" s="16" t="n">
        <f aca="false">IF(I78="Oui",K78,0)</f>
        <v>2</v>
      </c>
      <c r="Q78" s="16" t="n">
        <f aca="false">P78-O78</f>
        <v>2</v>
      </c>
      <c r="R78" s="2" t="str">
        <f aca="false">IF(I78&lt;&gt;"Oui","Hors périmètre",IF(Q78=0,"Maintenir",IF(U78=1,"P1",IF(K78=3,"P2",IF(K78=2,"P3","P4")))))</f>
        <v>P3</v>
      </c>
      <c r="S78" s="2" t="n">
        <f aca="false">IF(OR(I78&lt;&gt;"Oui",Q78=0),0,COUNTIFS($R$8:$R$119,"&lt;"&amp;R78,$Q$8:$Q$119,"&gt;0")+COUNTIFS($R$8:$R$119,R78,$Q$8:$Q$119,"&gt;"&amp;Q78)+COUNTIFS($R$8:R78,R78,$Q$8:Q78,Q78))</f>
        <v>79</v>
      </c>
      <c r="T78" s="2" t="n">
        <f aca="false">IF(AND(I78="Oui",E78&lt;&gt;"",COUNTIFS(Barèmes!$B$6:$B$11,E78)=1),1,0)</f>
        <v>0</v>
      </c>
      <c r="U78" s="2" t="n">
        <f aca="false">IF(AND(I78="Oui",L78=1,J78&lt;Barèmes!$G$6),1,0)</f>
        <v>0</v>
      </c>
      <c r="V78" s="2" t="n">
        <f aca="false">IF(AND(I78="Oui",E78="Je ne sais pas"),1,0)</f>
        <v>0</v>
      </c>
      <c r="W78" s="2" t="n">
        <f aca="false">T78</f>
        <v>0</v>
      </c>
      <c r="X78" s="12" t="str">
        <f aca="false">IF(AND(G78="Exclure",H78=""),"Justifier l’exclusion",IF(AND(E78&lt;&gt;"",T78=0,I78="Oui"),"Réponse invalide",IF(AND(I78="Oui",G78="Auto",Entreprise!$C$31="À confirmer"),"Confirmer l’usage",IF(AND(E78="4 · Vérifié et suivi",F78="",I78="Oui"),"Preuve à référencer",""))))</f>
        <v>Confirmer l’usage</v>
      </c>
    </row>
    <row r="79" customFormat="false" ht="85.5" hidden="false" customHeight="true" outlineLevel="0" collapsed="false">
      <c r="A79" s="12" t="s">
        <v>341</v>
      </c>
      <c r="B79" s="12" t="s">
        <v>27</v>
      </c>
      <c r="C79" s="12" t="s">
        <v>342</v>
      </c>
      <c r="D79" s="12" t="s">
        <v>343</v>
      </c>
      <c r="E79" s="22"/>
      <c r="F79" s="22"/>
      <c r="G79" s="22" t="s">
        <v>119</v>
      </c>
      <c r="H79" s="22"/>
      <c r="I79" s="12" t="str">
        <f aca="false">IF(AND(Entreprise!$C$13="Essentiel",M79=0),"Hors parcours",IF(AND(G79="Exclure",H79&lt;&gt;""),"Non",IF(G79="Inclure","Oui",IF(AND(G79="Auto",Entreprise!$C$20="Non"),"Non","Oui"))))</f>
        <v>Oui</v>
      </c>
      <c r="J79" s="14" t="n">
        <f aca="false">IF(T79=0,0,VLOOKUP(E79,Barèmes!$B$6:$C$11,2,FALSE()))</f>
        <v>0</v>
      </c>
      <c r="K79" s="24" t="n">
        <v>1</v>
      </c>
      <c r="L79" s="2" t="n">
        <v>0</v>
      </c>
      <c r="M79" s="2" t="n">
        <v>0</v>
      </c>
      <c r="N79" s="2" t="s">
        <v>120</v>
      </c>
      <c r="O79" s="16" t="n">
        <f aca="false">P79*J79</f>
        <v>0</v>
      </c>
      <c r="P79" s="16" t="n">
        <f aca="false">IF(I79="Oui",K79,0)</f>
        <v>1</v>
      </c>
      <c r="Q79" s="16" t="n">
        <f aca="false">P79-O79</f>
        <v>1</v>
      </c>
      <c r="R79" s="2" t="str">
        <f aca="false">IF(I79&lt;&gt;"Oui","Hors périmètre",IF(Q79=0,"Maintenir",IF(U79=1,"P1",IF(K79=3,"P2",IF(K79=2,"P3","P4")))))</f>
        <v>P4</v>
      </c>
      <c r="S79" s="2" t="n">
        <f aca="false">IF(OR(I79&lt;&gt;"Oui",Q79=0),0,COUNTIFS($R$8:$R$119,"&lt;"&amp;R79,$Q$8:$Q$119,"&gt;0")+COUNTIFS($R$8:$R$119,R79,$Q$8:$Q$119,"&gt;"&amp;Q79)+COUNTIFS($R$8:R79,R79,$Q$8:Q79,Q79))</f>
        <v>109</v>
      </c>
      <c r="T79" s="2" t="n">
        <f aca="false">IF(AND(I79="Oui",E79&lt;&gt;"",COUNTIFS(Barèmes!$B$6:$B$11,E79)=1),1,0)</f>
        <v>0</v>
      </c>
      <c r="U79" s="2" t="n">
        <f aca="false">IF(AND(I79="Oui",L79=1,J79&lt;Barèmes!$G$6),1,0)</f>
        <v>0</v>
      </c>
      <c r="V79" s="2" t="n">
        <f aca="false">IF(AND(I79="Oui",E79="Je ne sais pas"),1,0)</f>
        <v>0</v>
      </c>
      <c r="W79" s="2" t="n">
        <f aca="false">T79</f>
        <v>0</v>
      </c>
      <c r="X79" s="12" t="str">
        <f aca="false">IF(AND(G79="Exclure",H79=""),"Justifier l’exclusion",IF(AND(E79&lt;&gt;"",T79=0,I79="Oui"),"Réponse invalide",IF(AND(I79="Oui",G79="Auto",Entreprise!$C$20="À confirmer"),"Confirmer l’usage",IF(AND(E79="4 · Vérifié et suivi",F79="",I79="Oui"),"Preuve à référencer",""))))</f>
        <v/>
      </c>
    </row>
    <row r="80" customFormat="false" ht="85.5" hidden="false" customHeight="true" outlineLevel="0" collapsed="false">
      <c r="A80" s="12" t="s">
        <v>344</v>
      </c>
      <c r="B80" s="12" t="s">
        <v>28</v>
      </c>
      <c r="C80" s="12" t="s">
        <v>345</v>
      </c>
      <c r="D80" s="12" t="s">
        <v>346</v>
      </c>
      <c r="E80" s="22"/>
      <c r="F80" s="22"/>
      <c r="G80" s="22" t="s">
        <v>119</v>
      </c>
      <c r="H80" s="22"/>
      <c r="I80" s="12" t="str">
        <f aca="false">IF(AND(Entreprise!$C$13="Essentiel",M80=0),"Hors parcours",IF(AND(G80="Exclure",H80&lt;&gt;""),"Non",IF(G80="Inclure","Oui",IF(AND(G80="Auto",Entreprise!$C$29="Non"),"Non","Oui"))))</f>
        <v>Oui</v>
      </c>
      <c r="J80" s="14" t="n">
        <f aca="false">IF(T80=0,0,VLOOKUP(E80,Barèmes!$B$6:$C$11,2,FALSE()))</f>
        <v>0</v>
      </c>
      <c r="K80" s="24" t="n">
        <v>3</v>
      </c>
      <c r="L80" s="2" t="n">
        <v>0</v>
      </c>
      <c r="M80" s="2" t="n">
        <v>1</v>
      </c>
      <c r="N80" s="2" t="s">
        <v>157</v>
      </c>
      <c r="O80" s="16" t="n">
        <f aca="false">P80*J80</f>
        <v>0</v>
      </c>
      <c r="P80" s="16" t="n">
        <f aca="false">IF(I80="Oui",K80,0)</f>
        <v>3</v>
      </c>
      <c r="Q80" s="16" t="n">
        <f aca="false">P80-O80</f>
        <v>3</v>
      </c>
      <c r="R80" s="2" t="str">
        <f aca="false">IF(I80&lt;&gt;"Oui","Hors périmètre",IF(Q80=0,"Maintenir",IF(U80=1,"P1",IF(K80=3,"P2",IF(K80=2,"P3","P4")))))</f>
        <v>P2</v>
      </c>
      <c r="S80" s="2" t="n">
        <f aca="false">IF(OR(I80&lt;&gt;"Oui",Q80=0),0,COUNTIFS($R$8:$R$119,"&lt;"&amp;R80,$Q$8:$Q$119,"&gt;0")+COUNTIFS($R$8:$R$119,R80,$Q$8:$Q$119,"&gt;"&amp;Q80)+COUNTIFS($R$8:R80,R80,$Q$8:Q80,Q80))</f>
        <v>32</v>
      </c>
      <c r="T80" s="2" t="n">
        <f aca="false">IF(AND(I80="Oui",E80&lt;&gt;"",COUNTIFS(Barèmes!$B$6:$B$11,E80)=1),1,0)</f>
        <v>0</v>
      </c>
      <c r="U80" s="2" t="n">
        <f aca="false">IF(AND(I80="Oui",L80=1,J80&lt;Barèmes!$G$6),1,0)</f>
        <v>0</v>
      </c>
      <c r="V80" s="2" t="n">
        <f aca="false">IF(AND(I80="Oui",E80="Je ne sais pas"),1,0)</f>
        <v>0</v>
      </c>
      <c r="W80" s="2" t="n">
        <f aca="false">T80</f>
        <v>0</v>
      </c>
      <c r="X80" s="12" t="str">
        <f aca="false">IF(AND(G80="Exclure",H80=""),"Justifier l’exclusion",IF(AND(E80&lt;&gt;"",T80=0,I80="Oui"),"Réponse invalide",IF(AND(I80="Oui",G80="Auto",Entreprise!$C$29="À confirmer"),"Confirmer l’usage",IF(AND(E80="4 · Vérifié et suivi",F80="",I80="Oui"),"Preuve à référencer",""))))</f>
        <v>Confirmer l’usage</v>
      </c>
    </row>
    <row r="81" customFormat="false" ht="85.5" hidden="false" customHeight="true" outlineLevel="0" collapsed="false">
      <c r="A81" s="12" t="s">
        <v>347</v>
      </c>
      <c r="B81" s="12" t="s">
        <v>28</v>
      </c>
      <c r="C81" s="12" t="s">
        <v>348</v>
      </c>
      <c r="D81" s="12" t="s">
        <v>349</v>
      </c>
      <c r="E81" s="22"/>
      <c r="F81" s="22"/>
      <c r="G81" s="22" t="s">
        <v>119</v>
      </c>
      <c r="H81" s="22"/>
      <c r="I81" s="12" t="str">
        <f aca="false">IF(AND(Entreprise!$C$13="Essentiel",M81=0),"Hors parcours",IF(AND(G81="Exclure",H81&lt;&gt;""),"Non",IF(G81="Inclure","Oui",IF(AND(G81="Auto",Entreprise!$C$29="Non"),"Non","Oui"))))</f>
        <v>Oui</v>
      </c>
      <c r="J81" s="14" t="n">
        <f aca="false">IF(T81=0,0,VLOOKUP(E81,Barèmes!$B$6:$C$11,2,FALSE()))</f>
        <v>0</v>
      </c>
      <c r="K81" s="24" t="n">
        <v>3</v>
      </c>
      <c r="L81" s="2" t="n">
        <v>0</v>
      </c>
      <c r="M81" s="2" t="n">
        <v>0</v>
      </c>
      <c r="N81" s="2" t="s">
        <v>157</v>
      </c>
      <c r="O81" s="16" t="n">
        <f aca="false">P81*J81</f>
        <v>0</v>
      </c>
      <c r="P81" s="16" t="n">
        <f aca="false">IF(I81="Oui",K81,0)</f>
        <v>3</v>
      </c>
      <c r="Q81" s="16" t="n">
        <f aca="false">P81-O81</f>
        <v>3</v>
      </c>
      <c r="R81" s="2" t="str">
        <f aca="false">IF(I81&lt;&gt;"Oui","Hors périmètre",IF(Q81=0,"Maintenir",IF(U81=1,"P1",IF(K81=3,"P2",IF(K81=2,"P3","P4")))))</f>
        <v>P2</v>
      </c>
      <c r="S81" s="2" t="n">
        <f aca="false">IF(OR(I81&lt;&gt;"Oui",Q81=0),0,COUNTIFS($R$8:$R$119,"&lt;"&amp;R81,$Q$8:$Q$119,"&gt;0")+COUNTIFS($R$8:$R$119,R81,$Q$8:$Q$119,"&gt;"&amp;Q81)+COUNTIFS($R$8:R81,R81,$Q$8:Q81,Q81))</f>
        <v>33</v>
      </c>
      <c r="T81" s="2" t="n">
        <f aca="false">IF(AND(I81="Oui",E81&lt;&gt;"",COUNTIFS(Barèmes!$B$6:$B$11,E81)=1),1,0)</f>
        <v>0</v>
      </c>
      <c r="U81" s="2" t="n">
        <f aca="false">IF(AND(I81="Oui",L81=1,J81&lt;Barèmes!$G$6),1,0)</f>
        <v>0</v>
      </c>
      <c r="V81" s="2" t="n">
        <f aca="false">IF(AND(I81="Oui",E81="Je ne sais pas"),1,0)</f>
        <v>0</v>
      </c>
      <c r="W81" s="2" t="n">
        <f aca="false">T81</f>
        <v>0</v>
      </c>
      <c r="X81" s="12" t="str">
        <f aca="false">IF(AND(G81="Exclure",H81=""),"Justifier l’exclusion",IF(AND(E81&lt;&gt;"",T81=0,I81="Oui"),"Réponse invalide",IF(AND(I81="Oui",G81="Auto",Entreprise!$C$29="À confirmer"),"Confirmer l’usage",IF(AND(E81="4 · Vérifié et suivi",F81="",I81="Oui"),"Preuve à référencer",""))))</f>
        <v>Confirmer l’usage</v>
      </c>
    </row>
    <row r="82" customFormat="false" ht="85.5" hidden="false" customHeight="true" outlineLevel="0" collapsed="false">
      <c r="A82" s="12" t="s">
        <v>350</v>
      </c>
      <c r="B82" s="12" t="s">
        <v>28</v>
      </c>
      <c r="C82" s="12" t="s">
        <v>351</v>
      </c>
      <c r="D82" s="12" t="s">
        <v>352</v>
      </c>
      <c r="E82" s="22"/>
      <c r="F82" s="22"/>
      <c r="G82" s="22" t="s">
        <v>119</v>
      </c>
      <c r="H82" s="22"/>
      <c r="I82" s="12" t="str">
        <f aca="false">IF(AND(Entreprise!$C$13="Essentiel",M82=0),"Hors parcours",IF(AND(G82="Exclure",H82&lt;&gt;""),"Non",IF(G82="Inclure","Oui",IF(AND(G82="Auto",Entreprise!$C$26="Non"),"Non","Oui"))))</f>
        <v>Oui</v>
      </c>
      <c r="J82" s="14" t="n">
        <f aca="false">IF(T82=0,0,VLOOKUP(E82,Barèmes!$B$6:$C$11,2,FALSE()))</f>
        <v>0</v>
      </c>
      <c r="K82" s="24" t="n">
        <v>2</v>
      </c>
      <c r="L82" s="2" t="n">
        <v>0</v>
      </c>
      <c r="M82" s="2" t="n">
        <v>0</v>
      </c>
      <c r="N82" s="2" t="s">
        <v>216</v>
      </c>
      <c r="O82" s="16" t="n">
        <f aca="false">P82*J82</f>
        <v>0</v>
      </c>
      <c r="P82" s="16" t="n">
        <f aca="false">IF(I82="Oui",K82,0)</f>
        <v>2</v>
      </c>
      <c r="Q82" s="16" t="n">
        <f aca="false">P82-O82</f>
        <v>2</v>
      </c>
      <c r="R82" s="2" t="str">
        <f aca="false">IF(I82&lt;&gt;"Oui","Hors périmètre",IF(Q82=0,"Maintenir",IF(U82=1,"P1",IF(K82=3,"P2",IF(K82=2,"P3","P4")))))</f>
        <v>P3</v>
      </c>
      <c r="S82" s="2" t="n">
        <f aca="false">IF(OR(I82&lt;&gt;"Oui",Q82=0),0,COUNTIFS($R$8:$R$119,"&lt;"&amp;R82,$Q$8:$Q$119,"&gt;0")+COUNTIFS($R$8:$R$119,R82,$Q$8:$Q$119,"&gt;"&amp;Q82)+COUNTIFS($R$8:R82,R82,$Q$8:Q82,Q82))</f>
        <v>80</v>
      </c>
      <c r="T82" s="2" t="n">
        <f aca="false">IF(AND(I82="Oui",E82&lt;&gt;"",COUNTIFS(Barèmes!$B$6:$B$11,E82)=1),1,0)</f>
        <v>0</v>
      </c>
      <c r="U82" s="2" t="n">
        <f aca="false">IF(AND(I82="Oui",L82=1,J82&lt;Barèmes!$G$6),1,0)</f>
        <v>0</v>
      </c>
      <c r="V82" s="2" t="n">
        <f aca="false">IF(AND(I82="Oui",E82="Je ne sais pas"),1,0)</f>
        <v>0</v>
      </c>
      <c r="W82" s="2" t="n">
        <f aca="false">T82</f>
        <v>0</v>
      </c>
      <c r="X82" s="12" t="str">
        <f aca="false">IF(AND(G82="Exclure",H82=""),"Justifier l’exclusion",IF(AND(E82&lt;&gt;"",T82=0,I82="Oui"),"Réponse invalide",IF(AND(I82="Oui",G82="Auto",Entreprise!$C$26="À confirmer"),"Confirmer l’usage",IF(AND(E82="4 · Vérifié et suivi",F82="",I82="Oui"),"Preuve à référencer",""))))</f>
        <v>Confirmer l’usage</v>
      </c>
    </row>
    <row r="83" customFormat="false" ht="85.5" hidden="false" customHeight="true" outlineLevel="0" collapsed="false">
      <c r="A83" s="12" t="s">
        <v>353</v>
      </c>
      <c r="B83" s="12" t="s">
        <v>28</v>
      </c>
      <c r="C83" s="12" t="s">
        <v>354</v>
      </c>
      <c r="D83" s="12" t="s">
        <v>355</v>
      </c>
      <c r="E83" s="22"/>
      <c r="F83" s="22"/>
      <c r="G83" s="22" t="s">
        <v>119</v>
      </c>
      <c r="H83" s="22"/>
      <c r="I83" s="12" t="str">
        <f aca="false">IF(AND(Entreprise!$C$13="Essentiel",M83=0),"Hors parcours",IF(AND(G83="Exclure",H83&lt;&gt;""),"Non",IF(G83="Inclure","Oui",IF(AND(G83="Auto",Entreprise!$C$26="Non"),"Non","Oui"))))</f>
        <v>Oui</v>
      </c>
      <c r="J83" s="14" t="n">
        <f aca="false">IF(T83=0,0,VLOOKUP(E83,Barèmes!$B$6:$C$11,2,FALSE()))</f>
        <v>0</v>
      </c>
      <c r="K83" s="24" t="n">
        <v>2</v>
      </c>
      <c r="L83" s="2" t="n">
        <v>0</v>
      </c>
      <c r="M83" s="2" t="n">
        <v>0</v>
      </c>
      <c r="N83" s="2" t="s">
        <v>216</v>
      </c>
      <c r="O83" s="16" t="n">
        <f aca="false">P83*J83</f>
        <v>0</v>
      </c>
      <c r="P83" s="16" t="n">
        <f aca="false">IF(I83="Oui",K83,0)</f>
        <v>2</v>
      </c>
      <c r="Q83" s="16" t="n">
        <f aca="false">P83-O83</f>
        <v>2</v>
      </c>
      <c r="R83" s="2" t="str">
        <f aca="false">IF(I83&lt;&gt;"Oui","Hors périmètre",IF(Q83=0,"Maintenir",IF(U83=1,"P1",IF(K83=3,"P2",IF(K83=2,"P3","P4")))))</f>
        <v>P3</v>
      </c>
      <c r="S83" s="2" t="n">
        <f aca="false">IF(OR(I83&lt;&gt;"Oui",Q83=0),0,COUNTIFS($R$8:$R$119,"&lt;"&amp;R83,$Q$8:$Q$119,"&gt;0")+COUNTIFS($R$8:$R$119,R83,$Q$8:$Q$119,"&gt;"&amp;Q83)+COUNTIFS($R$8:R83,R83,$Q$8:Q83,Q83))</f>
        <v>81</v>
      </c>
      <c r="T83" s="2" t="n">
        <f aca="false">IF(AND(I83="Oui",E83&lt;&gt;"",COUNTIFS(Barèmes!$B$6:$B$11,E83)=1),1,0)</f>
        <v>0</v>
      </c>
      <c r="U83" s="2" t="n">
        <f aca="false">IF(AND(I83="Oui",L83=1,J83&lt;Barèmes!$G$6),1,0)</f>
        <v>0</v>
      </c>
      <c r="V83" s="2" t="n">
        <f aca="false">IF(AND(I83="Oui",E83="Je ne sais pas"),1,0)</f>
        <v>0</v>
      </c>
      <c r="W83" s="2" t="n">
        <f aca="false">T83</f>
        <v>0</v>
      </c>
      <c r="X83" s="12" t="str">
        <f aca="false">IF(AND(G83="Exclure",H83=""),"Justifier l’exclusion",IF(AND(E83&lt;&gt;"",T83=0,I83="Oui"),"Réponse invalide",IF(AND(I83="Oui",G83="Auto",Entreprise!$C$26="À confirmer"),"Confirmer l’usage",IF(AND(E83="4 · Vérifié et suivi",F83="",I83="Oui"),"Preuve à référencer",""))))</f>
        <v>Confirmer l’usage</v>
      </c>
    </row>
    <row r="84" customFormat="false" ht="85.5" hidden="false" customHeight="true" outlineLevel="0" collapsed="false">
      <c r="A84" s="12" t="s">
        <v>356</v>
      </c>
      <c r="B84" s="12" t="s">
        <v>28</v>
      </c>
      <c r="C84" s="12" t="s">
        <v>357</v>
      </c>
      <c r="D84" s="12" t="s">
        <v>358</v>
      </c>
      <c r="E84" s="22"/>
      <c r="F84" s="22"/>
      <c r="G84" s="22" t="s">
        <v>119</v>
      </c>
      <c r="H84" s="22"/>
      <c r="I84" s="12" t="str">
        <f aca="false">IF(AND(Entreprise!$C$13="Essentiel",M84=0),"Hors parcours",IF(AND(G84="Exclure",H84&lt;&gt;""),"Non",IF(G84="Inclure","Oui",IF(AND(G84="Auto",Entreprise!$C$26="Non"),"Non","Oui"))))</f>
        <v>Oui</v>
      </c>
      <c r="J84" s="14" t="n">
        <f aca="false">IF(T84=0,0,VLOOKUP(E84,Barèmes!$B$6:$C$11,2,FALSE()))</f>
        <v>0</v>
      </c>
      <c r="K84" s="24" t="n">
        <v>2</v>
      </c>
      <c r="L84" s="2" t="n">
        <v>0</v>
      </c>
      <c r="M84" s="2" t="n">
        <v>0</v>
      </c>
      <c r="N84" s="2" t="s">
        <v>216</v>
      </c>
      <c r="O84" s="16" t="n">
        <f aca="false">P84*J84</f>
        <v>0</v>
      </c>
      <c r="P84" s="16" t="n">
        <f aca="false">IF(I84="Oui",K84,0)</f>
        <v>2</v>
      </c>
      <c r="Q84" s="16" t="n">
        <f aca="false">P84-O84</f>
        <v>2</v>
      </c>
      <c r="R84" s="2" t="str">
        <f aca="false">IF(I84&lt;&gt;"Oui","Hors périmètre",IF(Q84=0,"Maintenir",IF(U84=1,"P1",IF(K84=3,"P2",IF(K84=2,"P3","P4")))))</f>
        <v>P3</v>
      </c>
      <c r="S84" s="2" t="n">
        <f aca="false">IF(OR(I84&lt;&gt;"Oui",Q84=0),0,COUNTIFS($R$8:$R$119,"&lt;"&amp;R84,$Q$8:$Q$119,"&gt;0")+COUNTIFS($R$8:$R$119,R84,$Q$8:$Q$119,"&gt;"&amp;Q84)+COUNTIFS($R$8:R84,R84,$Q$8:Q84,Q84))</f>
        <v>82</v>
      </c>
      <c r="T84" s="2" t="n">
        <f aca="false">IF(AND(I84="Oui",E84&lt;&gt;"",COUNTIFS(Barèmes!$B$6:$B$11,E84)=1),1,0)</f>
        <v>0</v>
      </c>
      <c r="U84" s="2" t="n">
        <f aca="false">IF(AND(I84="Oui",L84=1,J84&lt;Barèmes!$G$6),1,0)</f>
        <v>0</v>
      </c>
      <c r="V84" s="2" t="n">
        <f aca="false">IF(AND(I84="Oui",E84="Je ne sais pas"),1,0)</f>
        <v>0</v>
      </c>
      <c r="W84" s="2" t="n">
        <f aca="false">T84</f>
        <v>0</v>
      </c>
      <c r="X84" s="12" t="str">
        <f aca="false">IF(AND(G84="Exclure",H84=""),"Justifier l’exclusion",IF(AND(E84&lt;&gt;"",T84=0,I84="Oui"),"Réponse invalide",IF(AND(I84="Oui",G84="Auto",Entreprise!$C$26="À confirmer"),"Confirmer l’usage",IF(AND(E84="4 · Vérifié et suivi",F84="",I84="Oui"),"Preuve à référencer",""))))</f>
        <v>Confirmer l’usage</v>
      </c>
    </row>
    <row r="85" customFormat="false" ht="85.5" hidden="false" customHeight="true" outlineLevel="0" collapsed="false">
      <c r="A85" s="12" t="s">
        <v>359</v>
      </c>
      <c r="B85" s="12" t="s">
        <v>28</v>
      </c>
      <c r="C85" s="12" t="s">
        <v>360</v>
      </c>
      <c r="D85" s="12" t="s">
        <v>361</v>
      </c>
      <c r="E85" s="22"/>
      <c r="F85" s="22"/>
      <c r="G85" s="22" t="s">
        <v>119</v>
      </c>
      <c r="H85" s="22"/>
      <c r="I85" s="12" t="str">
        <f aca="false">IF(AND(Entreprise!$C$13="Essentiel",M85=0),"Hors parcours",IF(AND(G85="Exclure",H85&lt;&gt;""),"Non",IF(G85="Inclure","Oui",IF(AND(G85="Auto",Entreprise!$C$29="Non"),"Non","Oui"))))</f>
        <v>Oui</v>
      </c>
      <c r="J85" s="14" t="n">
        <f aca="false">IF(T85=0,0,VLOOKUP(E85,Barèmes!$B$6:$C$11,2,FALSE()))</f>
        <v>0</v>
      </c>
      <c r="K85" s="24" t="n">
        <v>2</v>
      </c>
      <c r="L85" s="2" t="n">
        <v>0</v>
      </c>
      <c r="M85" s="2" t="n">
        <v>0</v>
      </c>
      <c r="N85" s="2" t="s">
        <v>157</v>
      </c>
      <c r="O85" s="16" t="n">
        <f aca="false">P85*J85</f>
        <v>0</v>
      </c>
      <c r="P85" s="16" t="n">
        <f aca="false">IF(I85="Oui",K85,0)</f>
        <v>2</v>
      </c>
      <c r="Q85" s="16" t="n">
        <f aca="false">P85-O85</f>
        <v>2</v>
      </c>
      <c r="R85" s="2" t="str">
        <f aca="false">IF(I85&lt;&gt;"Oui","Hors périmètre",IF(Q85=0,"Maintenir",IF(U85=1,"P1",IF(K85=3,"P2",IF(K85=2,"P3","P4")))))</f>
        <v>P3</v>
      </c>
      <c r="S85" s="2" t="n">
        <f aca="false">IF(OR(I85&lt;&gt;"Oui",Q85=0),0,COUNTIFS($R$8:$R$119,"&lt;"&amp;R85,$Q$8:$Q$119,"&gt;0")+COUNTIFS($R$8:$R$119,R85,$Q$8:$Q$119,"&gt;"&amp;Q85)+COUNTIFS($R$8:R85,R85,$Q$8:Q85,Q85))</f>
        <v>83</v>
      </c>
      <c r="T85" s="2" t="n">
        <f aca="false">IF(AND(I85="Oui",E85&lt;&gt;"",COUNTIFS(Barèmes!$B$6:$B$11,E85)=1),1,0)</f>
        <v>0</v>
      </c>
      <c r="U85" s="2" t="n">
        <f aca="false">IF(AND(I85="Oui",L85=1,J85&lt;Barèmes!$G$6),1,0)</f>
        <v>0</v>
      </c>
      <c r="V85" s="2" t="n">
        <f aca="false">IF(AND(I85="Oui",E85="Je ne sais pas"),1,0)</f>
        <v>0</v>
      </c>
      <c r="W85" s="2" t="n">
        <f aca="false">T85</f>
        <v>0</v>
      </c>
      <c r="X85" s="12" t="str">
        <f aca="false">IF(AND(G85="Exclure",H85=""),"Justifier l’exclusion",IF(AND(E85&lt;&gt;"",T85=0,I85="Oui"),"Réponse invalide",IF(AND(I85="Oui",G85="Auto",Entreprise!$C$29="À confirmer"),"Confirmer l’usage",IF(AND(E85="4 · Vérifié et suivi",F85="",I85="Oui"),"Preuve à référencer",""))))</f>
        <v>Confirmer l’usage</v>
      </c>
    </row>
    <row r="86" customFormat="false" ht="85.5" hidden="false" customHeight="true" outlineLevel="0" collapsed="false">
      <c r="A86" s="12" t="s">
        <v>362</v>
      </c>
      <c r="B86" s="12" t="s">
        <v>28</v>
      </c>
      <c r="C86" s="12" t="s">
        <v>363</v>
      </c>
      <c r="D86" s="12" t="s">
        <v>364</v>
      </c>
      <c r="E86" s="22"/>
      <c r="F86" s="22"/>
      <c r="G86" s="22" t="s">
        <v>119</v>
      </c>
      <c r="H86" s="22"/>
      <c r="I86" s="12" t="str">
        <f aca="false">IF(AND(Entreprise!$C$13="Essentiel",M86=0),"Hors parcours",IF(AND(G86="Exclure",H86&lt;&gt;""),"Non",IF(G86="Inclure","Oui",IF(AND(G86="Auto",Entreprise!$C$29="Non"),"Non","Oui"))))</f>
        <v>Oui</v>
      </c>
      <c r="J86" s="14" t="n">
        <f aca="false">IF(T86=0,0,VLOOKUP(E86,Barèmes!$B$6:$C$11,2,FALSE()))</f>
        <v>0</v>
      </c>
      <c r="K86" s="24" t="n">
        <v>2</v>
      </c>
      <c r="L86" s="2" t="n">
        <v>0</v>
      </c>
      <c r="M86" s="2" t="n">
        <v>0</v>
      </c>
      <c r="N86" s="2" t="s">
        <v>157</v>
      </c>
      <c r="O86" s="16" t="n">
        <f aca="false">P86*J86</f>
        <v>0</v>
      </c>
      <c r="P86" s="16" t="n">
        <f aca="false">IF(I86="Oui",K86,0)</f>
        <v>2</v>
      </c>
      <c r="Q86" s="16" t="n">
        <f aca="false">P86-O86</f>
        <v>2</v>
      </c>
      <c r="R86" s="2" t="str">
        <f aca="false">IF(I86&lt;&gt;"Oui","Hors périmètre",IF(Q86=0,"Maintenir",IF(U86=1,"P1",IF(K86=3,"P2",IF(K86=2,"P3","P4")))))</f>
        <v>P3</v>
      </c>
      <c r="S86" s="2" t="n">
        <f aca="false">IF(OR(I86&lt;&gt;"Oui",Q86=0),0,COUNTIFS($R$8:$R$119,"&lt;"&amp;R86,$Q$8:$Q$119,"&gt;0")+COUNTIFS($R$8:$R$119,R86,$Q$8:$Q$119,"&gt;"&amp;Q86)+COUNTIFS($R$8:R86,R86,$Q$8:Q86,Q86))</f>
        <v>84</v>
      </c>
      <c r="T86" s="2" t="n">
        <f aca="false">IF(AND(I86="Oui",E86&lt;&gt;"",COUNTIFS(Barèmes!$B$6:$B$11,E86)=1),1,0)</f>
        <v>0</v>
      </c>
      <c r="U86" s="2" t="n">
        <f aca="false">IF(AND(I86="Oui",L86=1,J86&lt;Barèmes!$G$6),1,0)</f>
        <v>0</v>
      </c>
      <c r="V86" s="2" t="n">
        <f aca="false">IF(AND(I86="Oui",E86="Je ne sais pas"),1,0)</f>
        <v>0</v>
      </c>
      <c r="W86" s="2" t="n">
        <f aca="false">T86</f>
        <v>0</v>
      </c>
      <c r="X86" s="12" t="str">
        <f aca="false">IF(AND(G86="Exclure",H86=""),"Justifier l’exclusion",IF(AND(E86&lt;&gt;"",T86=0,I86="Oui"),"Réponse invalide",IF(AND(I86="Oui",G86="Auto",Entreprise!$C$29="À confirmer"),"Confirmer l’usage",IF(AND(E86="4 · Vérifié et suivi",F86="",I86="Oui"),"Preuve à référencer",""))))</f>
        <v>Confirmer l’usage</v>
      </c>
    </row>
    <row r="87" customFormat="false" ht="85.5" hidden="false" customHeight="true" outlineLevel="0" collapsed="false">
      <c r="A87" s="12" t="s">
        <v>365</v>
      </c>
      <c r="B87" s="12" t="s">
        <v>28</v>
      </c>
      <c r="C87" s="12" t="s">
        <v>366</v>
      </c>
      <c r="D87" s="12" t="s">
        <v>367</v>
      </c>
      <c r="E87" s="22"/>
      <c r="F87" s="22"/>
      <c r="G87" s="22" t="s">
        <v>119</v>
      </c>
      <c r="H87" s="22"/>
      <c r="I87" s="12" t="str">
        <f aca="false">IF(AND(Entreprise!$C$13="Essentiel",M87=0),"Hors parcours",IF(AND(G87="Exclure",H87&lt;&gt;""),"Non",IF(G87="Inclure","Oui",IF(AND(G87="Auto",Entreprise!$C$29="Non"),"Non","Oui"))))</f>
        <v>Oui</v>
      </c>
      <c r="J87" s="14" t="n">
        <f aca="false">IF(T87=0,0,VLOOKUP(E87,Barèmes!$B$6:$C$11,2,FALSE()))</f>
        <v>0</v>
      </c>
      <c r="K87" s="24" t="n">
        <v>2</v>
      </c>
      <c r="L87" s="2" t="n">
        <v>0</v>
      </c>
      <c r="M87" s="2" t="n">
        <v>0</v>
      </c>
      <c r="N87" s="2" t="s">
        <v>157</v>
      </c>
      <c r="O87" s="16" t="n">
        <f aca="false">P87*J87</f>
        <v>0</v>
      </c>
      <c r="P87" s="16" t="n">
        <f aca="false">IF(I87="Oui",K87,0)</f>
        <v>2</v>
      </c>
      <c r="Q87" s="16" t="n">
        <f aca="false">P87-O87</f>
        <v>2</v>
      </c>
      <c r="R87" s="2" t="str">
        <f aca="false">IF(I87&lt;&gt;"Oui","Hors périmètre",IF(Q87=0,"Maintenir",IF(U87=1,"P1",IF(K87=3,"P2",IF(K87=2,"P3","P4")))))</f>
        <v>P3</v>
      </c>
      <c r="S87" s="2" t="n">
        <f aca="false">IF(OR(I87&lt;&gt;"Oui",Q87=0),0,COUNTIFS($R$8:$R$119,"&lt;"&amp;R87,$Q$8:$Q$119,"&gt;0")+COUNTIFS($R$8:$R$119,R87,$Q$8:$Q$119,"&gt;"&amp;Q87)+COUNTIFS($R$8:R87,R87,$Q$8:Q87,Q87))</f>
        <v>85</v>
      </c>
      <c r="T87" s="2" t="n">
        <f aca="false">IF(AND(I87="Oui",E87&lt;&gt;"",COUNTIFS(Barèmes!$B$6:$B$11,E87)=1),1,0)</f>
        <v>0</v>
      </c>
      <c r="U87" s="2" t="n">
        <f aca="false">IF(AND(I87="Oui",L87=1,J87&lt;Barèmes!$G$6),1,0)</f>
        <v>0</v>
      </c>
      <c r="V87" s="2" t="n">
        <f aca="false">IF(AND(I87="Oui",E87="Je ne sais pas"),1,0)</f>
        <v>0</v>
      </c>
      <c r="W87" s="2" t="n">
        <f aca="false">T87</f>
        <v>0</v>
      </c>
      <c r="X87" s="12" t="str">
        <f aca="false">IF(AND(G87="Exclure",H87=""),"Justifier l’exclusion",IF(AND(E87&lt;&gt;"",T87=0,I87="Oui"),"Réponse invalide",IF(AND(I87="Oui",G87="Auto",Entreprise!$C$29="À confirmer"),"Confirmer l’usage",IF(AND(E87="4 · Vérifié et suivi",F87="",I87="Oui"),"Preuve à référencer",""))))</f>
        <v>Confirmer l’usage</v>
      </c>
    </row>
    <row r="88" customFormat="false" ht="85.5" hidden="false" customHeight="true" outlineLevel="0" collapsed="false">
      <c r="A88" s="12" t="s">
        <v>368</v>
      </c>
      <c r="B88" s="12" t="s">
        <v>29</v>
      </c>
      <c r="C88" s="12" t="s">
        <v>369</v>
      </c>
      <c r="D88" s="12" t="s">
        <v>370</v>
      </c>
      <c r="E88" s="22"/>
      <c r="F88" s="22"/>
      <c r="G88" s="22" t="s">
        <v>119</v>
      </c>
      <c r="H88" s="22"/>
      <c r="I88" s="12" t="str">
        <f aca="false">IF(AND(Entreprise!$C$13="Essentiel",M88=0),"Hors parcours",IF(AND(G88="Exclure",H88&lt;&gt;""),"Non",IF(G88="Inclure","Oui",IF(AND(G88="Auto",Entreprise!$C$27="Non"),"Non","Oui"))))</f>
        <v>Oui</v>
      </c>
      <c r="J88" s="14" t="n">
        <f aca="false">IF(T88=0,0,VLOOKUP(E88,Barèmes!$B$6:$C$11,2,FALSE()))</f>
        <v>0</v>
      </c>
      <c r="K88" s="24" t="n">
        <v>3</v>
      </c>
      <c r="L88" s="2" t="n">
        <v>1</v>
      </c>
      <c r="M88" s="2" t="n">
        <v>1</v>
      </c>
      <c r="N88" s="2" t="s">
        <v>161</v>
      </c>
      <c r="O88" s="16" t="n">
        <f aca="false">P88*J88</f>
        <v>0</v>
      </c>
      <c r="P88" s="16" t="n">
        <f aca="false">IF(I88="Oui",K88,0)</f>
        <v>3</v>
      </c>
      <c r="Q88" s="16" t="n">
        <f aca="false">P88-O88</f>
        <v>3</v>
      </c>
      <c r="R88" s="2" t="str">
        <f aca="false">IF(I88&lt;&gt;"Oui","Hors périmètre",IF(Q88=0,"Maintenir",IF(U88=1,"P1",IF(K88=3,"P2",IF(K88=2,"P3","P4")))))</f>
        <v>P1</v>
      </c>
      <c r="S88" s="2" t="n">
        <f aca="false">IF(OR(I88&lt;&gt;"Oui",Q88=0),0,COUNTIFS($R$8:$R$119,"&lt;"&amp;R88,$Q$8:$Q$119,"&gt;0")+COUNTIFS($R$8:$R$119,R88,$Q$8:$Q$119,"&gt;"&amp;Q88)+COUNTIFS($R$8:R88,R88,$Q$8:Q88,Q88))</f>
        <v>15</v>
      </c>
      <c r="T88" s="2" t="n">
        <f aca="false">IF(AND(I88="Oui",E88&lt;&gt;"",COUNTIFS(Barèmes!$B$6:$B$11,E88)=1),1,0)</f>
        <v>0</v>
      </c>
      <c r="U88" s="2" t="n">
        <f aca="false">IF(AND(I88="Oui",L88=1,J88&lt;Barèmes!$G$6),1,0)</f>
        <v>1</v>
      </c>
      <c r="V88" s="2" t="n">
        <f aca="false">IF(AND(I88="Oui",E88="Je ne sais pas"),1,0)</f>
        <v>0</v>
      </c>
      <c r="W88" s="2" t="n">
        <f aca="false">T88</f>
        <v>0</v>
      </c>
      <c r="X88" s="12" t="str">
        <f aca="false">IF(AND(G88="Exclure",H88=""),"Justifier l’exclusion",IF(AND(E88&lt;&gt;"",T88=0,I88="Oui"),"Réponse invalide",IF(AND(I88="Oui",G88="Auto",Entreprise!$C$27="À confirmer"),"Confirmer l’usage",IF(AND(E88="4 · Vérifié et suivi",F88="",I88="Oui"),"Preuve à référencer",""))))</f>
        <v>Confirmer l’usage</v>
      </c>
    </row>
    <row r="89" customFormat="false" ht="85.5" hidden="false" customHeight="true" outlineLevel="0" collapsed="false">
      <c r="A89" s="12" t="s">
        <v>371</v>
      </c>
      <c r="B89" s="12" t="s">
        <v>29</v>
      </c>
      <c r="C89" s="12" t="s">
        <v>372</v>
      </c>
      <c r="D89" s="12" t="s">
        <v>373</v>
      </c>
      <c r="E89" s="22"/>
      <c r="F89" s="22"/>
      <c r="G89" s="22" t="s">
        <v>119</v>
      </c>
      <c r="H89" s="22"/>
      <c r="I89" s="12" t="str">
        <f aca="false">IF(AND(Entreprise!$C$13="Essentiel",M89=0),"Hors parcours",IF(AND(G89="Exclure",H89&lt;&gt;""),"Non",IF(G89="Inclure","Oui",IF(AND(G89="Auto",Entreprise!$C$27="Non"),"Non","Oui"))))</f>
        <v>Oui</v>
      </c>
      <c r="J89" s="14" t="n">
        <f aca="false">IF(T89=0,0,VLOOKUP(E89,Barèmes!$B$6:$C$11,2,FALSE()))</f>
        <v>0</v>
      </c>
      <c r="K89" s="24" t="n">
        <v>2</v>
      </c>
      <c r="L89" s="2" t="n">
        <v>0</v>
      </c>
      <c r="M89" s="2" t="n">
        <v>0</v>
      </c>
      <c r="N89" s="2" t="s">
        <v>161</v>
      </c>
      <c r="O89" s="16" t="n">
        <f aca="false">P89*J89</f>
        <v>0</v>
      </c>
      <c r="P89" s="16" t="n">
        <f aca="false">IF(I89="Oui",K89,0)</f>
        <v>2</v>
      </c>
      <c r="Q89" s="16" t="n">
        <f aca="false">P89-O89</f>
        <v>2</v>
      </c>
      <c r="R89" s="2" t="str">
        <f aca="false">IF(I89&lt;&gt;"Oui","Hors périmètre",IF(Q89=0,"Maintenir",IF(U89=1,"P1",IF(K89=3,"P2",IF(K89=2,"P3","P4")))))</f>
        <v>P3</v>
      </c>
      <c r="S89" s="2" t="n">
        <f aca="false">IF(OR(I89&lt;&gt;"Oui",Q89=0),0,COUNTIFS($R$8:$R$119,"&lt;"&amp;R89,$Q$8:$Q$119,"&gt;0")+COUNTIFS($R$8:$R$119,R89,$Q$8:$Q$119,"&gt;"&amp;Q89)+COUNTIFS($R$8:R89,R89,$Q$8:Q89,Q89))</f>
        <v>86</v>
      </c>
      <c r="T89" s="2" t="n">
        <f aca="false">IF(AND(I89="Oui",E89&lt;&gt;"",COUNTIFS(Barèmes!$B$6:$B$11,E89)=1),1,0)</f>
        <v>0</v>
      </c>
      <c r="U89" s="2" t="n">
        <f aca="false">IF(AND(I89="Oui",L89=1,J89&lt;Barèmes!$G$6),1,0)</f>
        <v>0</v>
      </c>
      <c r="V89" s="2" t="n">
        <f aca="false">IF(AND(I89="Oui",E89="Je ne sais pas"),1,0)</f>
        <v>0</v>
      </c>
      <c r="W89" s="2" t="n">
        <f aca="false">T89</f>
        <v>0</v>
      </c>
      <c r="X89" s="12" t="str">
        <f aca="false">IF(AND(G89="Exclure",H89=""),"Justifier l’exclusion",IF(AND(E89&lt;&gt;"",T89=0,I89="Oui"),"Réponse invalide",IF(AND(I89="Oui",G89="Auto",Entreprise!$C$27="À confirmer"),"Confirmer l’usage",IF(AND(E89="4 · Vérifié et suivi",F89="",I89="Oui"),"Preuve à référencer",""))))</f>
        <v>Confirmer l’usage</v>
      </c>
    </row>
    <row r="90" customFormat="false" ht="85.5" hidden="false" customHeight="true" outlineLevel="0" collapsed="false">
      <c r="A90" s="12" t="s">
        <v>374</v>
      </c>
      <c r="B90" s="12" t="s">
        <v>29</v>
      </c>
      <c r="C90" s="12" t="s">
        <v>375</v>
      </c>
      <c r="D90" s="12" t="s">
        <v>376</v>
      </c>
      <c r="E90" s="22"/>
      <c r="F90" s="22"/>
      <c r="G90" s="22" t="s">
        <v>119</v>
      </c>
      <c r="H90" s="22"/>
      <c r="I90" s="12" t="str">
        <f aca="false">IF(AND(Entreprise!$C$13="Essentiel",M90=0),"Hors parcours",IF(AND(G90="Exclure",H90&lt;&gt;""),"Non",IF(G90="Inclure","Oui",IF(AND(G90="Auto",Entreprise!$C$27="Non"),"Non","Oui"))))</f>
        <v>Oui</v>
      </c>
      <c r="J90" s="14" t="n">
        <f aca="false">IF(T90=0,0,VLOOKUP(E90,Barèmes!$B$6:$C$11,2,FALSE()))</f>
        <v>0</v>
      </c>
      <c r="K90" s="24" t="n">
        <v>3</v>
      </c>
      <c r="L90" s="2" t="n">
        <v>0</v>
      </c>
      <c r="M90" s="2" t="n">
        <v>0</v>
      </c>
      <c r="N90" s="2" t="s">
        <v>161</v>
      </c>
      <c r="O90" s="16" t="n">
        <f aca="false">P90*J90</f>
        <v>0</v>
      </c>
      <c r="P90" s="16" t="n">
        <f aca="false">IF(I90="Oui",K90,0)</f>
        <v>3</v>
      </c>
      <c r="Q90" s="16" t="n">
        <f aca="false">P90-O90</f>
        <v>3</v>
      </c>
      <c r="R90" s="2" t="str">
        <f aca="false">IF(I90&lt;&gt;"Oui","Hors périmètre",IF(Q90=0,"Maintenir",IF(U90=1,"P1",IF(K90=3,"P2",IF(K90=2,"P3","P4")))))</f>
        <v>P2</v>
      </c>
      <c r="S90" s="2" t="n">
        <f aca="false">IF(OR(I90&lt;&gt;"Oui",Q90=0),0,COUNTIFS($R$8:$R$119,"&lt;"&amp;R90,$Q$8:$Q$119,"&gt;0")+COUNTIFS($R$8:$R$119,R90,$Q$8:$Q$119,"&gt;"&amp;Q90)+COUNTIFS($R$8:R90,R90,$Q$8:Q90,Q90))</f>
        <v>34</v>
      </c>
      <c r="T90" s="2" t="n">
        <f aca="false">IF(AND(I90="Oui",E90&lt;&gt;"",COUNTIFS(Barèmes!$B$6:$B$11,E90)=1),1,0)</f>
        <v>0</v>
      </c>
      <c r="U90" s="2" t="n">
        <f aca="false">IF(AND(I90="Oui",L90=1,J90&lt;Barèmes!$G$6),1,0)</f>
        <v>0</v>
      </c>
      <c r="V90" s="2" t="n">
        <f aca="false">IF(AND(I90="Oui",E90="Je ne sais pas"),1,0)</f>
        <v>0</v>
      </c>
      <c r="W90" s="2" t="n">
        <f aca="false">T90</f>
        <v>0</v>
      </c>
      <c r="X90" s="12" t="str">
        <f aca="false">IF(AND(G90="Exclure",H90=""),"Justifier l’exclusion",IF(AND(E90&lt;&gt;"",T90=0,I90="Oui"),"Réponse invalide",IF(AND(I90="Oui",G90="Auto",Entreprise!$C$27="À confirmer"),"Confirmer l’usage",IF(AND(E90="4 · Vérifié et suivi",F90="",I90="Oui"),"Preuve à référencer",""))))</f>
        <v>Confirmer l’usage</v>
      </c>
    </row>
    <row r="91" customFormat="false" ht="85.5" hidden="false" customHeight="true" outlineLevel="0" collapsed="false">
      <c r="A91" s="12" t="s">
        <v>377</v>
      </c>
      <c r="B91" s="12" t="s">
        <v>29</v>
      </c>
      <c r="C91" s="12" t="s">
        <v>378</v>
      </c>
      <c r="D91" s="12" t="s">
        <v>379</v>
      </c>
      <c r="E91" s="22"/>
      <c r="F91" s="22"/>
      <c r="G91" s="22" t="s">
        <v>119</v>
      </c>
      <c r="H91" s="22"/>
      <c r="I91" s="12" t="str">
        <f aca="false">IF(AND(Entreprise!$C$13="Essentiel",M91=0),"Hors parcours",IF(AND(G91="Exclure",H91&lt;&gt;""),"Non",IF(G91="Inclure","Oui",IF(AND(G91="Auto",Entreprise!$C$28="Non"),"Non","Oui"))))</f>
        <v>Oui</v>
      </c>
      <c r="J91" s="14" t="n">
        <f aca="false">IF(T91=0,0,VLOOKUP(E91,Barèmes!$B$6:$C$11,2,FALSE()))</f>
        <v>0</v>
      </c>
      <c r="K91" s="24" t="n">
        <v>3</v>
      </c>
      <c r="L91" s="2" t="n">
        <v>1</v>
      </c>
      <c r="M91" s="2" t="n">
        <v>0</v>
      </c>
      <c r="N91" s="2" t="s">
        <v>380</v>
      </c>
      <c r="O91" s="16" t="n">
        <f aca="false">P91*J91</f>
        <v>0</v>
      </c>
      <c r="P91" s="16" t="n">
        <f aca="false">IF(I91="Oui",K91,0)</f>
        <v>3</v>
      </c>
      <c r="Q91" s="16" t="n">
        <f aca="false">P91-O91</f>
        <v>3</v>
      </c>
      <c r="R91" s="2" t="str">
        <f aca="false">IF(I91&lt;&gt;"Oui","Hors périmètre",IF(Q91=0,"Maintenir",IF(U91=1,"P1",IF(K91=3,"P2",IF(K91=2,"P3","P4")))))</f>
        <v>P1</v>
      </c>
      <c r="S91" s="2" t="n">
        <f aca="false">IF(OR(I91&lt;&gt;"Oui",Q91=0),0,COUNTIFS($R$8:$R$119,"&lt;"&amp;R91,$Q$8:$Q$119,"&gt;0")+COUNTIFS($R$8:$R$119,R91,$Q$8:$Q$119,"&gt;"&amp;Q91)+COUNTIFS($R$8:R91,R91,$Q$8:Q91,Q91))</f>
        <v>16</v>
      </c>
      <c r="T91" s="2" t="n">
        <f aca="false">IF(AND(I91="Oui",E91&lt;&gt;"",COUNTIFS(Barèmes!$B$6:$B$11,E91)=1),1,0)</f>
        <v>0</v>
      </c>
      <c r="U91" s="2" t="n">
        <f aca="false">IF(AND(I91="Oui",L91=1,J91&lt;Barèmes!$G$6),1,0)</f>
        <v>1</v>
      </c>
      <c r="V91" s="2" t="n">
        <f aca="false">IF(AND(I91="Oui",E91="Je ne sais pas"),1,0)</f>
        <v>0</v>
      </c>
      <c r="W91" s="2" t="n">
        <f aca="false">T91</f>
        <v>0</v>
      </c>
      <c r="X91" s="12" t="str">
        <f aca="false">IF(AND(G91="Exclure",H91=""),"Justifier l’exclusion",IF(AND(E91&lt;&gt;"",T91=0,I91="Oui"),"Réponse invalide",IF(AND(I91="Oui",G91="Auto",Entreprise!$C$28="À confirmer"),"Confirmer l’usage",IF(AND(E91="4 · Vérifié et suivi",F91="",I91="Oui"),"Preuve à référencer",""))))</f>
        <v>Confirmer l’usage</v>
      </c>
    </row>
    <row r="92" customFormat="false" ht="85.5" hidden="false" customHeight="true" outlineLevel="0" collapsed="false">
      <c r="A92" s="12" t="s">
        <v>381</v>
      </c>
      <c r="B92" s="12" t="s">
        <v>29</v>
      </c>
      <c r="C92" s="12" t="s">
        <v>382</v>
      </c>
      <c r="D92" s="12" t="s">
        <v>383</v>
      </c>
      <c r="E92" s="22"/>
      <c r="F92" s="22"/>
      <c r="G92" s="22" t="s">
        <v>119</v>
      </c>
      <c r="H92" s="22"/>
      <c r="I92" s="12" t="str">
        <f aca="false">IF(AND(Entreprise!$C$13="Essentiel",M92=0),"Hors parcours",IF(AND(G92="Exclure",H92&lt;&gt;""),"Non",IF(G92="Inclure","Oui",IF(AND(G92="Auto",Entreprise!$C$28="Non"),"Non","Oui"))))</f>
        <v>Oui</v>
      </c>
      <c r="J92" s="14" t="n">
        <f aca="false">IF(T92=0,0,VLOOKUP(E92,Barèmes!$B$6:$C$11,2,FALSE()))</f>
        <v>0</v>
      </c>
      <c r="K92" s="24" t="n">
        <v>2</v>
      </c>
      <c r="L92" s="2" t="n">
        <v>0</v>
      </c>
      <c r="M92" s="2" t="n">
        <v>0</v>
      </c>
      <c r="N92" s="2" t="s">
        <v>380</v>
      </c>
      <c r="O92" s="16" t="n">
        <f aca="false">P92*J92</f>
        <v>0</v>
      </c>
      <c r="P92" s="16" t="n">
        <f aca="false">IF(I92="Oui",K92,0)</f>
        <v>2</v>
      </c>
      <c r="Q92" s="16" t="n">
        <f aca="false">P92-O92</f>
        <v>2</v>
      </c>
      <c r="R92" s="2" t="str">
        <f aca="false">IF(I92&lt;&gt;"Oui","Hors périmètre",IF(Q92=0,"Maintenir",IF(U92=1,"P1",IF(K92=3,"P2",IF(K92=2,"P3","P4")))))</f>
        <v>P3</v>
      </c>
      <c r="S92" s="2" t="n">
        <f aca="false">IF(OR(I92&lt;&gt;"Oui",Q92=0),0,COUNTIFS($R$8:$R$119,"&lt;"&amp;R92,$Q$8:$Q$119,"&gt;0")+COUNTIFS($R$8:$R$119,R92,$Q$8:$Q$119,"&gt;"&amp;Q92)+COUNTIFS($R$8:R92,R92,$Q$8:Q92,Q92))</f>
        <v>87</v>
      </c>
      <c r="T92" s="2" t="n">
        <f aca="false">IF(AND(I92="Oui",E92&lt;&gt;"",COUNTIFS(Barèmes!$B$6:$B$11,E92)=1),1,0)</f>
        <v>0</v>
      </c>
      <c r="U92" s="2" t="n">
        <f aca="false">IF(AND(I92="Oui",L92=1,J92&lt;Barèmes!$G$6),1,0)</f>
        <v>0</v>
      </c>
      <c r="V92" s="2" t="n">
        <f aca="false">IF(AND(I92="Oui",E92="Je ne sais pas"),1,0)</f>
        <v>0</v>
      </c>
      <c r="W92" s="2" t="n">
        <f aca="false">T92</f>
        <v>0</v>
      </c>
      <c r="X92" s="12" t="str">
        <f aca="false">IF(AND(G92="Exclure",H92=""),"Justifier l’exclusion",IF(AND(E92&lt;&gt;"",T92=0,I92="Oui"),"Réponse invalide",IF(AND(I92="Oui",G92="Auto",Entreprise!$C$28="À confirmer"),"Confirmer l’usage",IF(AND(E92="4 · Vérifié et suivi",F92="",I92="Oui"),"Preuve à référencer",""))))</f>
        <v>Confirmer l’usage</v>
      </c>
    </row>
    <row r="93" customFormat="false" ht="85.5" hidden="false" customHeight="true" outlineLevel="0" collapsed="false">
      <c r="A93" s="12" t="s">
        <v>384</v>
      </c>
      <c r="B93" s="12" t="s">
        <v>29</v>
      </c>
      <c r="C93" s="12" t="s">
        <v>385</v>
      </c>
      <c r="D93" s="12" t="s">
        <v>386</v>
      </c>
      <c r="E93" s="22"/>
      <c r="F93" s="22"/>
      <c r="G93" s="22" t="s">
        <v>119</v>
      </c>
      <c r="H93" s="22"/>
      <c r="I93" s="12" t="str">
        <f aca="false">IF(AND(Entreprise!$C$13="Essentiel",M93=0),"Hors parcours",IF(AND(G93="Exclure",H93&lt;&gt;""),"Non",IF(G93="Inclure","Oui",IF(AND(G93="Auto",Entreprise!$C$20="Non"),"Non","Oui"))))</f>
        <v>Oui</v>
      </c>
      <c r="J93" s="14" t="n">
        <f aca="false">IF(T93=0,0,VLOOKUP(E93,Barèmes!$B$6:$C$11,2,FALSE()))</f>
        <v>0</v>
      </c>
      <c r="K93" s="24" t="n">
        <v>2</v>
      </c>
      <c r="L93" s="2" t="n">
        <v>0</v>
      </c>
      <c r="M93" s="2" t="n">
        <v>0</v>
      </c>
      <c r="N93" s="2" t="s">
        <v>120</v>
      </c>
      <c r="O93" s="16" t="n">
        <f aca="false">P93*J93</f>
        <v>0</v>
      </c>
      <c r="P93" s="16" t="n">
        <f aca="false">IF(I93="Oui",K93,0)</f>
        <v>2</v>
      </c>
      <c r="Q93" s="16" t="n">
        <f aca="false">P93-O93</f>
        <v>2</v>
      </c>
      <c r="R93" s="2" t="str">
        <f aca="false">IF(I93&lt;&gt;"Oui","Hors périmètre",IF(Q93=0,"Maintenir",IF(U93=1,"P1",IF(K93=3,"P2",IF(K93=2,"P3","P4")))))</f>
        <v>P3</v>
      </c>
      <c r="S93" s="2" t="n">
        <f aca="false">IF(OR(I93&lt;&gt;"Oui",Q93=0),0,COUNTIFS($R$8:$R$119,"&lt;"&amp;R93,$Q$8:$Q$119,"&gt;0")+COUNTIFS($R$8:$R$119,R93,$Q$8:$Q$119,"&gt;"&amp;Q93)+COUNTIFS($R$8:R93,R93,$Q$8:Q93,Q93))</f>
        <v>88</v>
      </c>
      <c r="T93" s="2" t="n">
        <f aca="false">IF(AND(I93="Oui",E93&lt;&gt;"",COUNTIFS(Barèmes!$B$6:$B$11,E93)=1),1,0)</f>
        <v>0</v>
      </c>
      <c r="U93" s="2" t="n">
        <f aca="false">IF(AND(I93="Oui",L93=1,J93&lt;Barèmes!$G$6),1,0)</f>
        <v>0</v>
      </c>
      <c r="V93" s="2" t="n">
        <f aca="false">IF(AND(I93="Oui",E93="Je ne sais pas"),1,0)</f>
        <v>0</v>
      </c>
      <c r="W93" s="2" t="n">
        <f aca="false">T93</f>
        <v>0</v>
      </c>
      <c r="X93" s="12" t="str">
        <f aca="false">IF(AND(G93="Exclure",H93=""),"Justifier l’exclusion",IF(AND(E93&lt;&gt;"",T93=0,I93="Oui"),"Réponse invalide",IF(AND(I93="Oui",G93="Auto",Entreprise!$C$20="À confirmer"),"Confirmer l’usage",IF(AND(E93="4 · Vérifié et suivi",F93="",I93="Oui"),"Preuve à référencer",""))))</f>
        <v/>
      </c>
    </row>
    <row r="94" customFormat="false" ht="85.5" hidden="false" customHeight="true" outlineLevel="0" collapsed="false">
      <c r="A94" s="12" t="s">
        <v>387</v>
      </c>
      <c r="B94" s="12" t="s">
        <v>29</v>
      </c>
      <c r="C94" s="12" t="s">
        <v>388</v>
      </c>
      <c r="D94" s="12" t="s">
        <v>389</v>
      </c>
      <c r="E94" s="22"/>
      <c r="F94" s="22"/>
      <c r="G94" s="22" t="s">
        <v>119</v>
      </c>
      <c r="H94" s="22"/>
      <c r="I94" s="12" t="str">
        <f aca="false">IF(AND(Entreprise!$C$13="Essentiel",M94=0),"Hors parcours",IF(AND(G94="Exclure",H94&lt;&gt;""),"Non",IF(G94="Inclure","Oui",IF(AND(G94="Auto",Entreprise!$C$32="Non"),"Non","Oui"))))</f>
        <v>Oui</v>
      </c>
      <c r="J94" s="14" t="n">
        <f aca="false">IF(T94=0,0,VLOOKUP(E94,Barèmes!$B$6:$C$11,2,FALSE()))</f>
        <v>0</v>
      </c>
      <c r="K94" s="24" t="n">
        <v>2</v>
      </c>
      <c r="L94" s="2" t="n">
        <v>0</v>
      </c>
      <c r="M94" s="2" t="n">
        <v>0</v>
      </c>
      <c r="N94" s="2" t="s">
        <v>390</v>
      </c>
      <c r="O94" s="16" t="n">
        <f aca="false">P94*J94</f>
        <v>0</v>
      </c>
      <c r="P94" s="16" t="n">
        <f aca="false">IF(I94="Oui",K94,0)</f>
        <v>2</v>
      </c>
      <c r="Q94" s="16" t="n">
        <f aca="false">P94-O94</f>
        <v>2</v>
      </c>
      <c r="R94" s="2" t="str">
        <f aca="false">IF(I94&lt;&gt;"Oui","Hors périmètre",IF(Q94=0,"Maintenir",IF(U94=1,"P1",IF(K94=3,"P2",IF(K94=2,"P3","P4")))))</f>
        <v>P3</v>
      </c>
      <c r="S94" s="2" t="n">
        <f aca="false">IF(OR(I94&lt;&gt;"Oui",Q94=0),0,COUNTIFS($R$8:$R$119,"&lt;"&amp;R94,$Q$8:$Q$119,"&gt;0")+COUNTIFS($R$8:$R$119,R94,$Q$8:$Q$119,"&gt;"&amp;Q94)+COUNTIFS($R$8:R94,R94,$Q$8:Q94,Q94))</f>
        <v>89</v>
      </c>
      <c r="T94" s="2" t="n">
        <f aca="false">IF(AND(I94="Oui",E94&lt;&gt;"",COUNTIFS(Barèmes!$B$6:$B$11,E94)=1),1,0)</f>
        <v>0</v>
      </c>
      <c r="U94" s="2" t="n">
        <f aca="false">IF(AND(I94="Oui",L94=1,J94&lt;Barèmes!$G$6),1,0)</f>
        <v>0</v>
      </c>
      <c r="V94" s="2" t="n">
        <f aca="false">IF(AND(I94="Oui",E94="Je ne sais pas"),1,0)</f>
        <v>0</v>
      </c>
      <c r="W94" s="2" t="n">
        <f aca="false">T94</f>
        <v>0</v>
      </c>
      <c r="X94" s="12" t="str">
        <f aca="false">IF(AND(G94="Exclure",H94=""),"Justifier l’exclusion",IF(AND(E94&lt;&gt;"",T94=0,I94="Oui"),"Réponse invalide",IF(AND(I94="Oui",G94="Auto",Entreprise!$C$32="À confirmer"),"Confirmer l’usage",IF(AND(E94="4 · Vérifié et suivi",F94="",I94="Oui"),"Preuve à référencer",""))))</f>
        <v>Confirmer l’usage</v>
      </c>
    </row>
    <row r="95" customFormat="false" ht="85.5" hidden="false" customHeight="true" outlineLevel="0" collapsed="false">
      <c r="A95" s="12" t="s">
        <v>391</v>
      </c>
      <c r="B95" s="12" t="s">
        <v>29</v>
      </c>
      <c r="C95" s="12" t="s">
        <v>392</v>
      </c>
      <c r="D95" s="12" t="s">
        <v>393</v>
      </c>
      <c r="E95" s="22"/>
      <c r="F95" s="22"/>
      <c r="G95" s="22" t="s">
        <v>119</v>
      </c>
      <c r="H95" s="22"/>
      <c r="I95" s="12" t="str">
        <f aca="false">IF(AND(Entreprise!$C$13="Essentiel",M95=0),"Hors parcours",IF(AND(G95="Exclure",H95&lt;&gt;""),"Non",IF(G95="Inclure","Oui",IF(AND(G95="Auto",Entreprise!$C$33="Non"),"Non","Oui"))))</f>
        <v>Oui</v>
      </c>
      <c r="J95" s="14" t="n">
        <f aca="false">IF(T95=0,0,VLOOKUP(E95,Barèmes!$B$6:$C$11,2,FALSE()))</f>
        <v>0</v>
      </c>
      <c r="K95" s="24" t="n">
        <v>2</v>
      </c>
      <c r="L95" s="2" t="n">
        <v>0</v>
      </c>
      <c r="M95" s="2" t="n">
        <v>0</v>
      </c>
      <c r="N95" s="2" t="s">
        <v>394</v>
      </c>
      <c r="O95" s="16" t="n">
        <f aca="false">P95*J95</f>
        <v>0</v>
      </c>
      <c r="P95" s="16" t="n">
        <f aca="false">IF(I95="Oui",K95,0)</f>
        <v>2</v>
      </c>
      <c r="Q95" s="16" t="n">
        <f aca="false">P95-O95</f>
        <v>2</v>
      </c>
      <c r="R95" s="2" t="str">
        <f aca="false">IF(I95&lt;&gt;"Oui","Hors périmètre",IF(Q95=0,"Maintenir",IF(U95=1,"P1",IF(K95=3,"P2",IF(K95=2,"P3","P4")))))</f>
        <v>P3</v>
      </c>
      <c r="S95" s="2" t="n">
        <f aca="false">IF(OR(I95&lt;&gt;"Oui",Q95=0),0,COUNTIFS($R$8:$R$119,"&lt;"&amp;R95,$Q$8:$Q$119,"&gt;0")+COUNTIFS($R$8:$R$119,R95,$Q$8:$Q$119,"&gt;"&amp;Q95)+COUNTIFS($R$8:R95,R95,$Q$8:Q95,Q95))</f>
        <v>90</v>
      </c>
      <c r="T95" s="2" t="n">
        <f aca="false">IF(AND(I95="Oui",E95&lt;&gt;"",COUNTIFS(Barèmes!$B$6:$B$11,E95)=1),1,0)</f>
        <v>0</v>
      </c>
      <c r="U95" s="2" t="n">
        <f aca="false">IF(AND(I95="Oui",L95=1,J95&lt;Barèmes!$G$6),1,0)</f>
        <v>0</v>
      </c>
      <c r="V95" s="2" t="n">
        <f aca="false">IF(AND(I95="Oui",E95="Je ne sais pas"),1,0)</f>
        <v>0</v>
      </c>
      <c r="W95" s="2" t="n">
        <f aca="false">T95</f>
        <v>0</v>
      </c>
      <c r="X95" s="12" t="str">
        <f aca="false">IF(AND(G95="Exclure",H95=""),"Justifier l’exclusion",IF(AND(E95&lt;&gt;"",T95=0,I95="Oui"),"Réponse invalide",IF(AND(I95="Oui",G95="Auto",Entreprise!$C$33="À confirmer"),"Confirmer l’usage",IF(AND(E95="4 · Vérifié et suivi",F95="",I95="Oui"),"Preuve à référencer",""))))</f>
        <v>Confirmer l’usage</v>
      </c>
    </row>
    <row r="96" customFormat="false" ht="85.5" hidden="false" customHeight="true" outlineLevel="0" collapsed="false">
      <c r="A96" s="12" t="s">
        <v>395</v>
      </c>
      <c r="B96" s="12" t="s">
        <v>30</v>
      </c>
      <c r="C96" s="12" t="s">
        <v>396</v>
      </c>
      <c r="D96" s="12" t="s">
        <v>397</v>
      </c>
      <c r="E96" s="22"/>
      <c r="F96" s="22"/>
      <c r="G96" s="22" t="s">
        <v>119</v>
      </c>
      <c r="H96" s="22"/>
      <c r="I96" s="12" t="str">
        <f aca="false">IF(AND(Entreprise!$C$13="Essentiel",M96=0),"Hors parcours",IF(AND(G96="Exclure",H96&lt;&gt;""),"Non",IF(G96="Inclure","Oui",IF(AND(G96="Auto",Entreprise!$C$20="Non"),"Non","Oui"))))</f>
        <v>Oui</v>
      </c>
      <c r="J96" s="14" t="n">
        <f aca="false">IF(T96=0,0,VLOOKUP(E96,Barèmes!$B$6:$C$11,2,FALSE()))</f>
        <v>0</v>
      </c>
      <c r="K96" s="24" t="n">
        <v>3</v>
      </c>
      <c r="L96" s="2" t="n">
        <v>0</v>
      </c>
      <c r="M96" s="2" t="n">
        <v>1</v>
      </c>
      <c r="N96" s="2" t="s">
        <v>120</v>
      </c>
      <c r="O96" s="16" t="n">
        <f aca="false">P96*J96</f>
        <v>0</v>
      </c>
      <c r="P96" s="16" t="n">
        <f aca="false">IF(I96="Oui",K96,0)</f>
        <v>3</v>
      </c>
      <c r="Q96" s="16" t="n">
        <f aca="false">P96-O96</f>
        <v>3</v>
      </c>
      <c r="R96" s="2" t="str">
        <f aca="false">IF(I96&lt;&gt;"Oui","Hors périmètre",IF(Q96=0,"Maintenir",IF(U96=1,"P1",IF(K96=3,"P2",IF(K96=2,"P3","P4")))))</f>
        <v>P2</v>
      </c>
      <c r="S96" s="2" t="n">
        <f aca="false">IF(OR(I96&lt;&gt;"Oui",Q96=0),0,COUNTIFS($R$8:$R$119,"&lt;"&amp;R96,$Q$8:$Q$119,"&gt;0")+COUNTIFS($R$8:$R$119,R96,$Q$8:$Q$119,"&gt;"&amp;Q96)+COUNTIFS($R$8:R96,R96,$Q$8:Q96,Q96))</f>
        <v>35</v>
      </c>
      <c r="T96" s="2" t="n">
        <f aca="false">IF(AND(I96="Oui",E96&lt;&gt;"",COUNTIFS(Barèmes!$B$6:$B$11,E96)=1),1,0)</f>
        <v>0</v>
      </c>
      <c r="U96" s="2" t="n">
        <f aca="false">IF(AND(I96="Oui",L96=1,J96&lt;Barèmes!$G$6),1,0)</f>
        <v>0</v>
      </c>
      <c r="V96" s="2" t="n">
        <f aca="false">IF(AND(I96="Oui",E96="Je ne sais pas"),1,0)</f>
        <v>0</v>
      </c>
      <c r="W96" s="2" t="n">
        <f aca="false">T96</f>
        <v>0</v>
      </c>
      <c r="X96" s="12" t="str">
        <f aca="false">IF(AND(G96="Exclure",H96=""),"Justifier l’exclusion",IF(AND(E96&lt;&gt;"",T96=0,I96="Oui"),"Réponse invalide",IF(AND(I96="Oui",G96="Auto",Entreprise!$C$20="À confirmer"),"Confirmer l’usage",IF(AND(E96="4 · Vérifié et suivi",F96="",I96="Oui"),"Preuve à référencer",""))))</f>
        <v/>
      </c>
    </row>
    <row r="97" customFormat="false" ht="85.5" hidden="false" customHeight="true" outlineLevel="0" collapsed="false">
      <c r="A97" s="12" t="s">
        <v>398</v>
      </c>
      <c r="B97" s="12" t="s">
        <v>30</v>
      </c>
      <c r="C97" s="12" t="s">
        <v>399</v>
      </c>
      <c r="D97" s="12" t="s">
        <v>400</v>
      </c>
      <c r="E97" s="22"/>
      <c r="F97" s="22"/>
      <c r="G97" s="22" t="s">
        <v>119</v>
      </c>
      <c r="H97" s="22"/>
      <c r="I97" s="12" t="str">
        <f aca="false">IF(AND(Entreprise!$C$13="Essentiel",M97=0),"Hors parcours",IF(AND(G97="Exclure",H97&lt;&gt;""),"Non",IF(G97="Inclure","Oui",IF(AND(G97="Auto",Entreprise!$C$20="Non"),"Non","Oui"))))</f>
        <v>Oui</v>
      </c>
      <c r="J97" s="14" t="n">
        <f aca="false">IF(T97=0,0,VLOOKUP(E97,Barèmes!$B$6:$C$11,2,FALSE()))</f>
        <v>0</v>
      </c>
      <c r="K97" s="24" t="n">
        <v>3</v>
      </c>
      <c r="L97" s="2" t="n">
        <v>0</v>
      </c>
      <c r="M97" s="2" t="n">
        <v>1</v>
      </c>
      <c r="N97" s="2" t="s">
        <v>120</v>
      </c>
      <c r="O97" s="16" t="n">
        <f aca="false">P97*J97</f>
        <v>0</v>
      </c>
      <c r="P97" s="16" t="n">
        <f aca="false">IF(I97="Oui",K97,0)</f>
        <v>3</v>
      </c>
      <c r="Q97" s="16" t="n">
        <f aca="false">P97-O97</f>
        <v>3</v>
      </c>
      <c r="R97" s="2" t="str">
        <f aca="false">IF(I97&lt;&gt;"Oui","Hors périmètre",IF(Q97=0,"Maintenir",IF(U97=1,"P1",IF(K97=3,"P2",IF(K97=2,"P3","P4")))))</f>
        <v>P2</v>
      </c>
      <c r="S97" s="2" t="n">
        <f aca="false">IF(OR(I97&lt;&gt;"Oui",Q97=0),0,COUNTIFS($R$8:$R$119,"&lt;"&amp;R97,$Q$8:$Q$119,"&gt;0")+COUNTIFS($R$8:$R$119,R97,$Q$8:$Q$119,"&gt;"&amp;Q97)+COUNTIFS($R$8:R97,R97,$Q$8:Q97,Q97))</f>
        <v>36</v>
      </c>
      <c r="T97" s="2" t="n">
        <f aca="false">IF(AND(I97="Oui",E97&lt;&gt;"",COUNTIFS(Barèmes!$B$6:$B$11,E97)=1),1,0)</f>
        <v>0</v>
      </c>
      <c r="U97" s="2" t="n">
        <f aca="false">IF(AND(I97="Oui",L97=1,J97&lt;Barèmes!$G$6),1,0)</f>
        <v>0</v>
      </c>
      <c r="V97" s="2" t="n">
        <f aca="false">IF(AND(I97="Oui",E97="Je ne sais pas"),1,0)</f>
        <v>0</v>
      </c>
      <c r="W97" s="2" t="n">
        <f aca="false">T97</f>
        <v>0</v>
      </c>
      <c r="X97" s="12" t="str">
        <f aca="false">IF(AND(G97="Exclure",H97=""),"Justifier l’exclusion",IF(AND(E97&lt;&gt;"",T97=0,I97="Oui"),"Réponse invalide",IF(AND(I97="Oui",G97="Auto",Entreprise!$C$20="À confirmer"),"Confirmer l’usage",IF(AND(E97="4 · Vérifié et suivi",F97="",I97="Oui"),"Preuve à référencer",""))))</f>
        <v/>
      </c>
    </row>
    <row r="98" customFormat="false" ht="85.5" hidden="false" customHeight="true" outlineLevel="0" collapsed="false">
      <c r="A98" s="12" t="s">
        <v>401</v>
      </c>
      <c r="B98" s="12" t="s">
        <v>30</v>
      </c>
      <c r="C98" s="12" t="s">
        <v>402</v>
      </c>
      <c r="D98" s="12" t="s">
        <v>403</v>
      </c>
      <c r="E98" s="22"/>
      <c r="F98" s="22"/>
      <c r="G98" s="22" t="s">
        <v>119</v>
      </c>
      <c r="H98" s="22"/>
      <c r="I98" s="12" t="str">
        <f aca="false">IF(AND(Entreprise!$C$13="Essentiel",M98=0),"Hors parcours",IF(AND(G98="Exclure",H98&lt;&gt;""),"Non",IF(G98="Inclure","Oui",IF(AND(G98="Auto",Entreprise!$C$21="Non"),"Non","Oui"))))</f>
        <v>Oui</v>
      </c>
      <c r="J98" s="14" t="n">
        <f aca="false">IF(T98=0,0,VLOOKUP(E98,Barèmes!$B$6:$C$11,2,FALSE()))</f>
        <v>0</v>
      </c>
      <c r="K98" s="24" t="n">
        <v>2</v>
      </c>
      <c r="L98" s="2" t="n">
        <v>0</v>
      </c>
      <c r="M98" s="2" t="n">
        <v>0</v>
      </c>
      <c r="N98" s="2" t="s">
        <v>197</v>
      </c>
      <c r="O98" s="16" t="n">
        <f aca="false">P98*J98</f>
        <v>0</v>
      </c>
      <c r="P98" s="16" t="n">
        <f aca="false">IF(I98="Oui",K98,0)</f>
        <v>2</v>
      </c>
      <c r="Q98" s="16" t="n">
        <f aca="false">P98-O98</f>
        <v>2</v>
      </c>
      <c r="R98" s="2" t="str">
        <f aca="false">IF(I98&lt;&gt;"Oui","Hors périmètre",IF(Q98=0,"Maintenir",IF(U98=1,"P1",IF(K98=3,"P2",IF(K98=2,"P3","P4")))))</f>
        <v>P3</v>
      </c>
      <c r="S98" s="2" t="n">
        <f aca="false">IF(OR(I98&lt;&gt;"Oui",Q98=0),0,COUNTIFS($R$8:$R$119,"&lt;"&amp;R98,$Q$8:$Q$119,"&gt;0")+COUNTIFS($R$8:$R$119,R98,$Q$8:$Q$119,"&gt;"&amp;Q98)+COUNTIFS($R$8:R98,R98,$Q$8:Q98,Q98))</f>
        <v>91</v>
      </c>
      <c r="T98" s="2" t="n">
        <f aca="false">IF(AND(I98="Oui",E98&lt;&gt;"",COUNTIFS(Barèmes!$B$6:$B$11,E98)=1),1,0)</f>
        <v>0</v>
      </c>
      <c r="U98" s="2" t="n">
        <f aca="false">IF(AND(I98="Oui",L98=1,J98&lt;Barèmes!$G$6),1,0)</f>
        <v>0</v>
      </c>
      <c r="V98" s="2" t="n">
        <f aca="false">IF(AND(I98="Oui",E98="Je ne sais pas"),1,0)</f>
        <v>0</v>
      </c>
      <c r="W98" s="2" t="n">
        <f aca="false">T98</f>
        <v>0</v>
      </c>
      <c r="X98" s="12" t="str">
        <f aca="false">IF(AND(G98="Exclure",H98=""),"Justifier l’exclusion",IF(AND(E98&lt;&gt;"",T98=0,I98="Oui"),"Réponse invalide",IF(AND(I98="Oui",G98="Auto",Entreprise!$C$21="À confirmer"),"Confirmer l’usage",IF(AND(E98="4 · Vérifié et suivi",F98="",I98="Oui"),"Preuve à référencer",""))))</f>
        <v>Confirmer l’usage</v>
      </c>
    </row>
    <row r="99" customFormat="false" ht="85.5" hidden="false" customHeight="true" outlineLevel="0" collapsed="false">
      <c r="A99" s="12" t="s">
        <v>404</v>
      </c>
      <c r="B99" s="12" t="s">
        <v>30</v>
      </c>
      <c r="C99" s="12" t="s">
        <v>405</v>
      </c>
      <c r="D99" s="12" t="s">
        <v>406</v>
      </c>
      <c r="E99" s="22"/>
      <c r="F99" s="22"/>
      <c r="G99" s="22" t="s">
        <v>119</v>
      </c>
      <c r="H99" s="22"/>
      <c r="I99" s="12" t="str">
        <f aca="false">IF(AND(Entreprise!$C$13="Essentiel",M99=0),"Hors parcours",IF(AND(G99="Exclure",H99&lt;&gt;""),"Non",IF(G99="Inclure","Oui",IF(AND(G99="Auto",Entreprise!$C$21="Non"),"Non","Oui"))))</f>
        <v>Oui</v>
      </c>
      <c r="J99" s="14" t="n">
        <f aca="false">IF(T99=0,0,VLOOKUP(E99,Barèmes!$B$6:$C$11,2,FALSE()))</f>
        <v>0</v>
      </c>
      <c r="K99" s="24" t="n">
        <v>2</v>
      </c>
      <c r="L99" s="2" t="n">
        <v>0</v>
      </c>
      <c r="M99" s="2" t="n">
        <v>0</v>
      </c>
      <c r="N99" s="2" t="s">
        <v>197</v>
      </c>
      <c r="O99" s="16" t="n">
        <f aca="false">P99*J99</f>
        <v>0</v>
      </c>
      <c r="P99" s="16" t="n">
        <f aca="false">IF(I99="Oui",K99,0)</f>
        <v>2</v>
      </c>
      <c r="Q99" s="16" t="n">
        <f aca="false">P99-O99</f>
        <v>2</v>
      </c>
      <c r="R99" s="2" t="str">
        <f aca="false">IF(I99&lt;&gt;"Oui","Hors périmètre",IF(Q99=0,"Maintenir",IF(U99=1,"P1",IF(K99=3,"P2",IF(K99=2,"P3","P4")))))</f>
        <v>P3</v>
      </c>
      <c r="S99" s="2" t="n">
        <f aca="false">IF(OR(I99&lt;&gt;"Oui",Q99=0),0,COUNTIFS($R$8:$R$119,"&lt;"&amp;R99,$Q$8:$Q$119,"&gt;0")+COUNTIFS($R$8:$R$119,R99,$Q$8:$Q$119,"&gt;"&amp;Q99)+COUNTIFS($R$8:R99,R99,$Q$8:Q99,Q99))</f>
        <v>92</v>
      </c>
      <c r="T99" s="2" t="n">
        <f aca="false">IF(AND(I99="Oui",E99&lt;&gt;"",COUNTIFS(Barèmes!$B$6:$B$11,E99)=1),1,0)</f>
        <v>0</v>
      </c>
      <c r="U99" s="2" t="n">
        <f aca="false">IF(AND(I99="Oui",L99=1,J99&lt;Barèmes!$G$6),1,0)</f>
        <v>0</v>
      </c>
      <c r="V99" s="2" t="n">
        <f aca="false">IF(AND(I99="Oui",E99="Je ne sais pas"),1,0)</f>
        <v>0</v>
      </c>
      <c r="W99" s="2" t="n">
        <f aca="false">T99</f>
        <v>0</v>
      </c>
      <c r="X99" s="12" t="str">
        <f aca="false">IF(AND(G99="Exclure",H99=""),"Justifier l’exclusion",IF(AND(E99&lt;&gt;"",T99=0,I99="Oui"),"Réponse invalide",IF(AND(I99="Oui",G99="Auto",Entreprise!$C$21="À confirmer"),"Confirmer l’usage",IF(AND(E99="4 · Vérifié et suivi",F99="",I99="Oui"),"Preuve à référencer",""))))</f>
        <v>Confirmer l’usage</v>
      </c>
    </row>
    <row r="100" customFormat="false" ht="85.5" hidden="false" customHeight="true" outlineLevel="0" collapsed="false">
      <c r="A100" s="12" t="s">
        <v>407</v>
      </c>
      <c r="B100" s="12" t="s">
        <v>30</v>
      </c>
      <c r="C100" s="12" t="s">
        <v>408</v>
      </c>
      <c r="D100" s="12" t="s">
        <v>409</v>
      </c>
      <c r="E100" s="22"/>
      <c r="F100" s="22"/>
      <c r="G100" s="22" t="s">
        <v>119</v>
      </c>
      <c r="H100" s="22"/>
      <c r="I100" s="12" t="str">
        <f aca="false">IF(AND(Entreprise!$C$13="Essentiel",M100=0),"Hors parcours",IF(AND(G100="Exclure",H100&lt;&gt;""),"Non",IF(G100="Inclure","Oui",IF(AND(G100="Auto",Entreprise!$C$20="Non"),"Non","Oui"))))</f>
        <v>Oui</v>
      </c>
      <c r="J100" s="14" t="n">
        <f aca="false">IF(T100=0,0,VLOOKUP(E100,Barèmes!$B$6:$C$11,2,FALSE()))</f>
        <v>0</v>
      </c>
      <c r="K100" s="24" t="n">
        <v>2</v>
      </c>
      <c r="L100" s="2" t="n">
        <v>0</v>
      </c>
      <c r="M100" s="2" t="n">
        <v>0</v>
      </c>
      <c r="N100" s="2" t="s">
        <v>120</v>
      </c>
      <c r="O100" s="16" t="n">
        <f aca="false">P100*J100</f>
        <v>0</v>
      </c>
      <c r="P100" s="16" t="n">
        <f aca="false">IF(I100="Oui",K100,0)</f>
        <v>2</v>
      </c>
      <c r="Q100" s="16" t="n">
        <f aca="false">P100-O100</f>
        <v>2</v>
      </c>
      <c r="R100" s="2" t="str">
        <f aca="false">IF(I100&lt;&gt;"Oui","Hors périmètre",IF(Q100=0,"Maintenir",IF(U100=1,"P1",IF(K100=3,"P2",IF(K100=2,"P3","P4")))))</f>
        <v>P3</v>
      </c>
      <c r="S100" s="2" t="n">
        <f aca="false">IF(OR(I100&lt;&gt;"Oui",Q100=0),0,COUNTIFS($R$8:$R$119,"&lt;"&amp;R100,$Q$8:$Q$119,"&gt;0")+COUNTIFS($R$8:$R$119,R100,$Q$8:$Q$119,"&gt;"&amp;Q100)+COUNTIFS($R$8:R100,R100,$Q$8:Q100,Q100))</f>
        <v>93</v>
      </c>
      <c r="T100" s="2" t="n">
        <f aca="false">IF(AND(I100="Oui",E100&lt;&gt;"",COUNTIFS(Barèmes!$B$6:$B$11,E100)=1),1,0)</f>
        <v>0</v>
      </c>
      <c r="U100" s="2" t="n">
        <f aca="false">IF(AND(I100="Oui",L100=1,J100&lt;Barèmes!$G$6),1,0)</f>
        <v>0</v>
      </c>
      <c r="V100" s="2" t="n">
        <f aca="false">IF(AND(I100="Oui",E100="Je ne sais pas"),1,0)</f>
        <v>0</v>
      </c>
      <c r="W100" s="2" t="n">
        <f aca="false">T100</f>
        <v>0</v>
      </c>
      <c r="X100" s="12" t="str">
        <f aca="false">IF(AND(G100="Exclure",H100=""),"Justifier l’exclusion",IF(AND(E100&lt;&gt;"",T100=0,I100="Oui"),"Réponse invalide",IF(AND(I100="Oui",G100="Auto",Entreprise!$C$20="À confirmer"),"Confirmer l’usage",IF(AND(E100="4 · Vérifié et suivi",F100="",I100="Oui"),"Preuve à référencer",""))))</f>
        <v/>
      </c>
    </row>
    <row r="101" customFormat="false" ht="85.5" hidden="false" customHeight="true" outlineLevel="0" collapsed="false">
      <c r="A101" s="12" t="s">
        <v>410</v>
      </c>
      <c r="B101" s="12" t="s">
        <v>30</v>
      </c>
      <c r="C101" s="12" t="s">
        <v>411</v>
      </c>
      <c r="D101" s="12" t="s">
        <v>412</v>
      </c>
      <c r="E101" s="22"/>
      <c r="F101" s="22"/>
      <c r="G101" s="22" t="s">
        <v>119</v>
      </c>
      <c r="H101" s="22"/>
      <c r="I101" s="12" t="str">
        <f aca="false">IF(AND(Entreprise!$C$13="Essentiel",M101=0),"Hors parcours",IF(AND(G101="Exclure",H101&lt;&gt;""),"Non",IF(G101="Inclure","Oui",IF(AND(G101="Auto",Entreprise!$C$22="Non"),"Non","Oui"))))</f>
        <v>Oui</v>
      </c>
      <c r="J101" s="14" t="n">
        <f aca="false">IF(T101=0,0,VLOOKUP(E101,Barèmes!$B$6:$C$11,2,FALSE()))</f>
        <v>0</v>
      </c>
      <c r="K101" s="24" t="n">
        <v>2</v>
      </c>
      <c r="L101" s="2" t="n">
        <v>0</v>
      </c>
      <c r="M101" s="2" t="n">
        <v>0</v>
      </c>
      <c r="N101" s="2" t="s">
        <v>232</v>
      </c>
      <c r="O101" s="16" t="n">
        <f aca="false">P101*J101</f>
        <v>0</v>
      </c>
      <c r="P101" s="16" t="n">
        <f aca="false">IF(I101="Oui",K101,0)</f>
        <v>2</v>
      </c>
      <c r="Q101" s="16" t="n">
        <f aca="false">P101-O101</f>
        <v>2</v>
      </c>
      <c r="R101" s="2" t="str">
        <f aca="false">IF(I101&lt;&gt;"Oui","Hors périmètre",IF(Q101=0,"Maintenir",IF(U101=1,"P1",IF(K101=3,"P2",IF(K101=2,"P3","P4")))))</f>
        <v>P3</v>
      </c>
      <c r="S101" s="2" t="n">
        <f aca="false">IF(OR(I101&lt;&gt;"Oui",Q101=0),0,COUNTIFS($R$8:$R$119,"&lt;"&amp;R101,$Q$8:$Q$119,"&gt;0")+COUNTIFS($R$8:$R$119,R101,$Q$8:$Q$119,"&gt;"&amp;Q101)+COUNTIFS($R$8:R101,R101,$Q$8:Q101,Q101))</f>
        <v>94</v>
      </c>
      <c r="T101" s="2" t="n">
        <f aca="false">IF(AND(I101="Oui",E101&lt;&gt;"",COUNTIFS(Barèmes!$B$6:$B$11,E101)=1),1,0)</f>
        <v>0</v>
      </c>
      <c r="U101" s="2" t="n">
        <f aca="false">IF(AND(I101="Oui",L101=1,J101&lt;Barèmes!$G$6),1,0)</f>
        <v>0</v>
      </c>
      <c r="V101" s="2" t="n">
        <f aca="false">IF(AND(I101="Oui",E101="Je ne sais pas"),1,0)</f>
        <v>0</v>
      </c>
      <c r="W101" s="2" t="n">
        <f aca="false">T101</f>
        <v>0</v>
      </c>
      <c r="X101" s="12" t="str">
        <f aca="false">IF(AND(G101="Exclure",H101=""),"Justifier l’exclusion",IF(AND(E101&lt;&gt;"",T101=0,I101="Oui"),"Réponse invalide",IF(AND(I101="Oui",G101="Auto",Entreprise!$C$22="À confirmer"),"Confirmer l’usage",IF(AND(E101="4 · Vérifié et suivi",F101="",I101="Oui"),"Preuve à référencer",""))))</f>
        <v>Confirmer l’usage</v>
      </c>
    </row>
    <row r="102" customFormat="false" ht="85.5" hidden="false" customHeight="true" outlineLevel="0" collapsed="false">
      <c r="A102" s="12" t="s">
        <v>413</v>
      </c>
      <c r="B102" s="12" t="s">
        <v>30</v>
      </c>
      <c r="C102" s="12" t="s">
        <v>414</v>
      </c>
      <c r="D102" s="12" t="s">
        <v>415</v>
      </c>
      <c r="E102" s="22"/>
      <c r="F102" s="22"/>
      <c r="G102" s="22" t="s">
        <v>119</v>
      </c>
      <c r="H102" s="22"/>
      <c r="I102" s="12" t="str">
        <f aca="false">IF(AND(Entreprise!$C$13="Essentiel",M102=0),"Hors parcours",IF(AND(G102="Exclure",H102&lt;&gt;""),"Non",IF(G102="Inclure","Oui",IF(AND(G102="Auto",Entreprise!$C$20="Non"),"Non","Oui"))))</f>
        <v>Oui</v>
      </c>
      <c r="J102" s="14" t="n">
        <f aca="false">IF(T102=0,0,VLOOKUP(E102,Barèmes!$B$6:$C$11,2,FALSE()))</f>
        <v>0</v>
      </c>
      <c r="K102" s="24" t="n">
        <v>1</v>
      </c>
      <c r="L102" s="2" t="n">
        <v>0</v>
      </c>
      <c r="M102" s="2" t="n">
        <v>0</v>
      </c>
      <c r="N102" s="2" t="s">
        <v>120</v>
      </c>
      <c r="O102" s="16" t="n">
        <f aca="false">P102*J102</f>
        <v>0</v>
      </c>
      <c r="P102" s="16" t="n">
        <f aca="false">IF(I102="Oui",K102,0)</f>
        <v>1</v>
      </c>
      <c r="Q102" s="16" t="n">
        <f aca="false">P102-O102</f>
        <v>1</v>
      </c>
      <c r="R102" s="2" t="str">
        <f aca="false">IF(I102&lt;&gt;"Oui","Hors périmètre",IF(Q102=0,"Maintenir",IF(U102=1,"P1",IF(K102=3,"P2",IF(K102=2,"P3","P4")))))</f>
        <v>P4</v>
      </c>
      <c r="S102" s="2" t="n">
        <f aca="false">IF(OR(I102&lt;&gt;"Oui",Q102=0),0,COUNTIFS($R$8:$R$119,"&lt;"&amp;R102,$Q$8:$Q$119,"&gt;0")+COUNTIFS($R$8:$R$119,R102,$Q$8:$Q$119,"&gt;"&amp;Q102)+COUNTIFS($R$8:R102,R102,$Q$8:Q102,Q102))</f>
        <v>110</v>
      </c>
      <c r="T102" s="2" t="n">
        <f aca="false">IF(AND(I102="Oui",E102&lt;&gt;"",COUNTIFS(Barèmes!$B$6:$B$11,E102)=1),1,0)</f>
        <v>0</v>
      </c>
      <c r="U102" s="2" t="n">
        <f aca="false">IF(AND(I102="Oui",L102=1,J102&lt;Barèmes!$G$6),1,0)</f>
        <v>0</v>
      </c>
      <c r="V102" s="2" t="n">
        <f aca="false">IF(AND(I102="Oui",E102="Je ne sais pas"),1,0)</f>
        <v>0</v>
      </c>
      <c r="W102" s="2" t="n">
        <f aca="false">T102</f>
        <v>0</v>
      </c>
      <c r="X102" s="12" t="str">
        <f aca="false">IF(AND(G102="Exclure",H102=""),"Justifier l’exclusion",IF(AND(E102&lt;&gt;"",T102=0,I102="Oui"),"Réponse invalide",IF(AND(I102="Oui",G102="Auto",Entreprise!$C$20="À confirmer"),"Confirmer l’usage",IF(AND(E102="4 · Vérifié et suivi",F102="",I102="Oui"),"Preuve à référencer",""))))</f>
        <v/>
      </c>
    </row>
    <row r="103" customFormat="false" ht="85.5" hidden="false" customHeight="true" outlineLevel="0" collapsed="false">
      <c r="A103" s="12" t="s">
        <v>416</v>
      </c>
      <c r="B103" s="12" t="s">
        <v>30</v>
      </c>
      <c r="C103" s="12" t="s">
        <v>417</v>
      </c>
      <c r="D103" s="12" t="s">
        <v>418</v>
      </c>
      <c r="E103" s="22"/>
      <c r="F103" s="22"/>
      <c r="G103" s="22" t="s">
        <v>119</v>
      </c>
      <c r="H103" s="22"/>
      <c r="I103" s="12" t="str">
        <f aca="false">IF(AND(Entreprise!$C$13="Essentiel",M103=0),"Hors parcours",IF(AND(G103="Exclure",H103&lt;&gt;""),"Non",IF(G103="Inclure","Oui",IF(AND(G103="Auto",Entreprise!$C$20="Non"),"Non","Oui"))))</f>
        <v>Oui</v>
      </c>
      <c r="J103" s="14" t="n">
        <f aca="false">IF(T103=0,0,VLOOKUP(E103,Barèmes!$B$6:$C$11,2,FALSE()))</f>
        <v>0</v>
      </c>
      <c r="K103" s="24" t="n">
        <v>1</v>
      </c>
      <c r="L103" s="2" t="n">
        <v>0</v>
      </c>
      <c r="M103" s="2" t="n">
        <v>0</v>
      </c>
      <c r="N103" s="2" t="s">
        <v>120</v>
      </c>
      <c r="O103" s="16" t="n">
        <f aca="false">P103*J103</f>
        <v>0</v>
      </c>
      <c r="P103" s="16" t="n">
        <f aca="false">IF(I103="Oui",K103,0)</f>
        <v>1</v>
      </c>
      <c r="Q103" s="16" t="n">
        <f aca="false">P103-O103</f>
        <v>1</v>
      </c>
      <c r="R103" s="2" t="str">
        <f aca="false">IF(I103&lt;&gt;"Oui","Hors périmètre",IF(Q103=0,"Maintenir",IF(U103=1,"P1",IF(K103=3,"P2",IF(K103=2,"P3","P4")))))</f>
        <v>P4</v>
      </c>
      <c r="S103" s="2" t="n">
        <f aca="false">IF(OR(I103&lt;&gt;"Oui",Q103=0),0,COUNTIFS($R$8:$R$119,"&lt;"&amp;R103,$Q$8:$Q$119,"&gt;0")+COUNTIFS($R$8:$R$119,R103,$Q$8:$Q$119,"&gt;"&amp;Q103)+COUNTIFS($R$8:R103,R103,$Q$8:Q103,Q103))</f>
        <v>111</v>
      </c>
      <c r="T103" s="2" t="n">
        <f aca="false">IF(AND(I103="Oui",E103&lt;&gt;"",COUNTIFS(Barèmes!$B$6:$B$11,E103)=1),1,0)</f>
        <v>0</v>
      </c>
      <c r="U103" s="2" t="n">
        <f aca="false">IF(AND(I103="Oui",L103=1,J103&lt;Barèmes!$G$6),1,0)</f>
        <v>0</v>
      </c>
      <c r="V103" s="2" t="n">
        <f aca="false">IF(AND(I103="Oui",E103="Je ne sais pas"),1,0)</f>
        <v>0</v>
      </c>
      <c r="W103" s="2" t="n">
        <f aca="false">T103</f>
        <v>0</v>
      </c>
      <c r="X103" s="12" t="str">
        <f aca="false">IF(AND(G103="Exclure",H103=""),"Justifier l’exclusion",IF(AND(E103&lt;&gt;"",T103=0,I103="Oui"),"Réponse invalide",IF(AND(I103="Oui",G103="Auto",Entreprise!$C$20="À confirmer"),"Confirmer l’usage",IF(AND(E103="4 · Vérifié et suivi",F103="",I103="Oui"),"Preuve à référencer",""))))</f>
        <v/>
      </c>
    </row>
    <row r="104" customFormat="false" ht="85.5" hidden="false" customHeight="true" outlineLevel="0" collapsed="false">
      <c r="A104" s="12" t="s">
        <v>419</v>
      </c>
      <c r="B104" s="12" t="s">
        <v>32</v>
      </c>
      <c r="C104" s="12" t="s">
        <v>420</v>
      </c>
      <c r="D104" s="12" t="s">
        <v>421</v>
      </c>
      <c r="E104" s="22"/>
      <c r="F104" s="22"/>
      <c r="G104" s="22" t="s">
        <v>119</v>
      </c>
      <c r="H104" s="22"/>
      <c r="I104" s="12" t="str">
        <f aca="false">IF(AND(Entreprise!$C$13="Essentiel",M104=0),"Hors parcours",IF(AND(G104="Exclure",H104&lt;&gt;""),"Non",IF(G104="Inclure","Oui",IF(AND(G104="Auto",Entreprise!$C$20="Non"),"Non","Oui"))))</f>
        <v>Oui</v>
      </c>
      <c r="J104" s="14" t="n">
        <f aca="false">IF(T104=0,0,VLOOKUP(E104,Barèmes!$B$6:$C$11,2,FALSE()))</f>
        <v>0</v>
      </c>
      <c r="K104" s="24" t="n">
        <v>3</v>
      </c>
      <c r="L104" s="2" t="n">
        <v>0</v>
      </c>
      <c r="M104" s="2" t="n">
        <v>1</v>
      </c>
      <c r="N104" s="2" t="s">
        <v>120</v>
      </c>
      <c r="O104" s="16" t="n">
        <f aca="false">P104*J104</f>
        <v>0</v>
      </c>
      <c r="P104" s="16" t="n">
        <f aca="false">IF(I104="Oui",K104,0)</f>
        <v>3</v>
      </c>
      <c r="Q104" s="16" t="n">
        <f aca="false">P104-O104</f>
        <v>3</v>
      </c>
      <c r="R104" s="2" t="str">
        <f aca="false">IF(I104&lt;&gt;"Oui","Hors périmètre",IF(Q104=0,"Maintenir",IF(U104=1,"P1",IF(K104=3,"P2",IF(K104=2,"P3","P4")))))</f>
        <v>P2</v>
      </c>
      <c r="S104" s="2" t="n">
        <f aca="false">IF(OR(I104&lt;&gt;"Oui",Q104=0),0,COUNTIFS($R$8:$R$119,"&lt;"&amp;R104,$Q$8:$Q$119,"&gt;0")+COUNTIFS($R$8:$R$119,R104,$Q$8:$Q$119,"&gt;"&amp;Q104)+COUNTIFS($R$8:R104,R104,$Q$8:Q104,Q104))</f>
        <v>37</v>
      </c>
      <c r="T104" s="2" t="n">
        <f aca="false">IF(AND(I104="Oui",E104&lt;&gt;"",COUNTIFS(Barèmes!$B$6:$B$11,E104)=1),1,0)</f>
        <v>0</v>
      </c>
      <c r="U104" s="2" t="n">
        <f aca="false">IF(AND(I104="Oui",L104=1,J104&lt;Barèmes!$G$6),1,0)</f>
        <v>0</v>
      </c>
      <c r="V104" s="2" t="n">
        <f aca="false">IF(AND(I104="Oui",E104="Je ne sais pas"),1,0)</f>
        <v>0</v>
      </c>
      <c r="W104" s="2" t="n">
        <f aca="false">T104</f>
        <v>0</v>
      </c>
      <c r="X104" s="12" t="str">
        <f aca="false">IF(AND(G104="Exclure",H104=""),"Justifier l’exclusion",IF(AND(E104&lt;&gt;"",T104=0,I104="Oui"),"Réponse invalide",IF(AND(I104="Oui",G104="Auto",Entreprise!$C$20="À confirmer"),"Confirmer l’usage",IF(AND(E104="4 · Vérifié et suivi",F104="",I104="Oui"),"Preuve à référencer",""))))</f>
        <v/>
      </c>
    </row>
    <row r="105" customFormat="false" ht="85.5" hidden="false" customHeight="true" outlineLevel="0" collapsed="false">
      <c r="A105" s="12" t="s">
        <v>422</v>
      </c>
      <c r="B105" s="12" t="s">
        <v>32</v>
      </c>
      <c r="C105" s="12" t="s">
        <v>423</v>
      </c>
      <c r="D105" s="12" t="s">
        <v>424</v>
      </c>
      <c r="E105" s="22"/>
      <c r="F105" s="22"/>
      <c r="G105" s="22" t="s">
        <v>119</v>
      </c>
      <c r="H105" s="22"/>
      <c r="I105" s="12" t="str">
        <f aca="false">IF(AND(Entreprise!$C$13="Essentiel",M105=0),"Hors parcours",IF(AND(G105="Exclure",H105&lt;&gt;""),"Non",IF(G105="Inclure","Oui",IF(AND(G105="Auto",Entreprise!$C$20="Non"),"Non","Oui"))))</f>
        <v>Oui</v>
      </c>
      <c r="J105" s="14" t="n">
        <f aca="false">IF(T105=0,0,VLOOKUP(E105,Barèmes!$B$6:$C$11,2,FALSE()))</f>
        <v>0</v>
      </c>
      <c r="K105" s="24" t="n">
        <v>3</v>
      </c>
      <c r="L105" s="2" t="n">
        <v>0</v>
      </c>
      <c r="M105" s="2" t="n">
        <v>1</v>
      </c>
      <c r="N105" s="2" t="s">
        <v>120</v>
      </c>
      <c r="O105" s="16" t="n">
        <f aca="false">P105*J105</f>
        <v>0</v>
      </c>
      <c r="P105" s="16" t="n">
        <f aca="false">IF(I105="Oui",K105,0)</f>
        <v>3</v>
      </c>
      <c r="Q105" s="16" t="n">
        <f aca="false">P105-O105</f>
        <v>3</v>
      </c>
      <c r="R105" s="2" t="str">
        <f aca="false">IF(I105&lt;&gt;"Oui","Hors périmètre",IF(Q105=0,"Maintenir",IF(U105=1,"P1",IF(K105=3,"P2",IF(K105=2,"P3","P4")))))</f>
        <v>P2</v>
      </c>
      <c r="S105" s="2" t="n">
        <f aca="false">IF(OR(I105&lt;&gt;"Oui",Q105=0),0,COUNTIFS($R$8:$R$119,"&lt;"&amp;R105,$Q$8:$Q$119,"&gt;0")+COUNTIFS($R$8:$R$119,R105,$Q$8:$Q$119,"&gt;"&amp;Q105)+COUNTIFS($R$8:R105,R105,$Q$8:Q105,Q105))</f>
        <v>38</v>
      </c>
      <c r="T105" s="2" t="n">
        <f aca="false">IF(AND(I105="Oui",E105&lt;&gt;"",COUNTIFS(Barèmes!$B$6:$B$11,E105)=1),1,0)</f>
        <v>0</v>
      </c>
      <c r="U105" s="2" t="n">
        <f aca="false">IF(AND(I105="Oui",L105=1,J105&lt;Barèmes!$G$6),1,0)</f>
        <v>0</v>
      </c>
      <c r="V105" s="2" t="n">
        <f aca="false">IF(AND(I105="Oui",E105="Je ne sais pas"),1,0)</f>
        <v>0</v>
      </c>
      <c r="W105" s="2" t="n">
        <f aca="false">T105</f>
        <v>0</v>
      </c>
      <c r="X105" s="12" t="str">
        <f aca="false">IF(AND(G105="Exclure",H105=""),"Justifier l’exclusion",IF(AND(E105&lt;&gt;"",T105=0,I105="Oui"),"Réponse invalide",IF(AND(I105="Oui",G105="Auto",Entreprise!$C$20="À confirmer"),"Confirmer l’usage",IF(AND(E105="4 · Vérifié et suivi",F105="",I105="Oui"),"Preuve à référencer",""))))</f>
        <v/>
      </c>
    </row>
    <row r="106" customFormat="false" ht="85.5" hidden="false" customHeight="true" outlineLevel="0" collapsed="false">
      <c r="A106" s="12" t="s">
        <v>425</v>
      </c>
      <c r="B106" s="12" t="s">
        <v>32</v>
      </c>
      <c r="C106" s="12" t="s">
        <v>426</v>
      </c>
      <c r="D106" s="12" t="s">
        <v>427</v>
      </c>
      <c r="E106" s="22"/>
      <c r="F106" s="22"/>
      <c r="G106" s="22" t="s">
        <v>119</v>
      </c>
      <c r="H106" s="22"/>
      <c r="I106" s="12" t="str">
        <f aca="false">IF(AND(Entreprise!$C$13="Essentiel",M106=0),"Hors parcours",IF(AND(G106="Exclure",H106&lt;&gt;""),"Non",IF(G106="Inclure","Oui",IF(AND(G106="Auto",Entreprise!$C$26="Non"),"Non","Oui"))))</f>
        <v>Oui</v>
      </c>
      <c r="J106" s="14" t="n">
        <f aca="false">IF(T106=0,0,VLOOKUP(E106,Barèmes!$B$6:$C$11,2,FALSE()))</f>
        <v>0</v>
      </c>
      <c r="K106" s="24" t="n">
        <v>2</v>
      </c>
      <c r="L106" s="2" t="n">
        <v>0</v>
      </c>
      <c r="M106" s="2" t="n">
        <v>0</v>
      </c>
      <c r="N106" s="2" t="s">
        <v>216</v>
      </c>
      <c r="O106" s="16" t="n">
        <f aca="false">P106*J106</f>
        <v>0</v>
      </c>
      <c r="P106" s="16" t="n">
        <f aca="false">IF(I106="Oui",K106,0)</f>
        <v>2</v>
      </c>
      <c r="Q106" s="16" t="n">
        <f aca="false">P106-O106</f>
        <v>2</v>
      </c>
      <c r="R106" s="2" t="str">
        <f aca="false">IF(I106&lt;&gt;"Oui","Hors périmètre",IF(Q106=0,"Maintenir",IF(U106=1,"P1",IF(K106=3,"P2",IF(K106=2,"P3","P4")))))</f>
        <v>P3</v>
      </c>
      <c r="S106" s="2" t="n">
        <f aca="false">IF(OR(I106&lt;&gt;"Oui",Q106=0),0,COUNTIFS($R$8:$R$119,"&lt;"&amp;R106,$Q$8:$Q$119,"&gt;0")+COUNTIFS($R$8:$R$119,R106,$Q$8:$Q$119,"&gt;"&amp;Q106)+COUNTIFS($R$8:R106,R106,$Q$8:Q106,Q106))</f>
        <v>95</v>
      </c>
      <c r="T106" s="2" t="n">
        <f aca="false">IF(AND(I106="Oui",E106&lt;&gt;"",COUNTIFS(Barèmes!$B$6:$B$11,E106)=1),1,0)</f>
        <v>0</v>
      </c>
      <c r="U106" s="2" t="n">
        <f aca="false">IF(AND(I106="Oui",L106=1,J106&lt;Barèmes!$G$6),1,0)</f>
        <v>0</v>
      </c>
      <c r="V106" s="2" t="n">
        <f aca="false">IF(AND(I106="Oui",E106="Je ne sais pas"),1,0)</f>
        <v>0</v>
      </c>
      <c r="W106" s="2" t="n">
        <f aca="false">T106</f>
        <v>0</v>
      </c>
      <c r="X106" s="12" t="str">
        <f aca="false">IF(AND(G106="Exclure",H106=""),"Justifier l’exclusion",IF(AND(E106&lt;&gt;"",T106=0,I106="Oui"),"Réponse invalide",IF(AND(I106="Oui",G106="Auto",Entreprise!$C$26="À confirmer"),"Confirmer l’usage",IF(AND(E106="4 · Vérifié et suivi",F106="",I106="Oui"),"Preuve à référencer",""))))</f>
        <v>Confirmer l’usage</v>
      </c>
    </row>
    <row r="107" customFormat="false" ht="85.5" hidden="false" customHeight="true" outlineLevel="0" collapsed="false">
      <c r="A107" s="12" t="s">
        <v>428</v>
      </c>
      <c r="B107" s="12" t="s">
        <v>32</v>
      </c>
      <c r="C107" s="12" t="s">
        <v>429</v>
      </c>
      <c r="D107" s="12" t="s">
        <v>430</v>
      </c>
      <c r="E107" s="22"/>
      <c r="F107" s="22"/>
      <c r="G107" s="22" t="s">
        <v>119</v>
      </c>
      <c r="H107" s="22"/>
      <c r="I107" s="12" t="str">
        <f aca="false">IF(AND(Entreprise!$C$13="Essentiel",M107=0),"Hors parcours",IF(AND(G107="Exclure",H107&lt;&gt;""),"Non",IF(G107="Inclure","Oui",IF(AND(G107="Auto",Entreprise!$C$20="Non"),"Non","Oui"))))</f>
        <v>Oui</v>
      </c>
      <c r="J107" s="14" t="n">
        <f aca="false">IF(T107=0,0,VLOOKUP(E107,Barèmes!$B$6:$C$11,2,FALSE()))</f>
        <v>0</v>
      </c>
      <c r="K107" s="24" t="n">
        <v>3</v>
      </c>
      <c r="L107" s="2" t="n">
        <v>1</v>
      </c>
      <c r="M107" s="2" t="n">
        <v>1</v>
      </c>
      <c r="N107" s="2" t="s">
        <v>120</v>
      </c>
      <c r="O107" s="16" t="n">
        <f aca="false">P107*J107</f>
        <v>0</v>
      </c>
      <c r="P107" s="16" t="n">
        <f aca="false">IF(I107="Oui",K107,0)</f>
        <v>3</v>
      </c>
      <c r="Q107" s="16" t="n">
        <f aca="false">P107-O107</f>
        <v>3</v>
      </c>
      <c r="R107" s="2" t="str">
        <f aca="false">IF(I107&lt;&gt;"Oui","Hors périmètre",IF(Q107=0,"Maintenir",IF(U107=1,"P1",IF(K107=3,"P2",IF(K107=2,"P3","P4")))))</f>
        <v>P1</v>
      </c>
      <c r="S107" s="2" t="n">
        <f aca="false">IF(OR(I107&lt;&gt;"Oui",Q107=0),0,COUNTIFS($R$8:$R$119,"&lt;"&amp;R107,$Q$8:$Q$119,"&gt;0")+COUNTIFS($R$8:$R$119,R107,$Q$8:$Q$119,"&gt;"&amp;Q107)+COUNTIFS($R$8:R107,R107,$Q$8:Q107,Q107))</f>
        <v>17</v>
      </c>
      <c r="T107" s="2" t="n">
        <f aca="false">IF(AND(I107="Oui",E107&lt;&gt;"",COUNTIFS(Barèmes!$B$6:$B$11,E107)=1),1,0)</f>
        <v>0</v>
      </c>
      <c r="U107" s="2" t="n">
        <f aca="false">IF(AND(I107="Oui",L107=1,J107&lt;Barèmes!$G$6),1,0)</f>
        <v>1</v>
      </c>
      <c r="V107" s="2" t="n">
        <f aca="false">IF(AND(I107="Oui",E107="Je ne sais pas"),1,0)</f>
        <v>0</v>
      </c>
      <c r="W107" s="2" t="n">
        <f aca="false">T107</f>
        <v>0</v>
      </c>
      <c r="X107" s="12" t="str">
        <f aca="false">IF(AND(G107="Exclure",H107=""),"Justifier l’exclusion",IF(AND(E107&lt;&gt;"",T107=0,I107="Oui"),"Réponse invalide",IF(AND(I107="Oui",G107="Auto",Entreprise!$C$20="À confirmer"),"Confirmer l’usage",IF(AND(E107="4 · Vérifié et suivi",F107="",I107="Oui"),"Preuve à référencer",""))))</f>
        <v/>
      </c>
    </row>
    <row r="108" customFormat="false" ht="85.5" hidden="false" customHeight="true" outlineLevel="0" collapsed="false">
      <c r="A108" s="12" t="s">
        <v>431</v>
      </c>
      <c r="B108" s="12" t="s">
        <v>32</v>
      </c>
      <c r="C108" s="12" t="s">
        <v>432</v>
      </c>
      <c r="D108" s="12" t="s">
        <v>433</v>
      </c>
      <c r="E108" s="22"/>
      <c r="F108" s="22"/>
      <c r="G108" s="22" t="s">
        <v>119</v>
      </c>
      <c r="H108" s="22"/>
      <c r="I108" s="12" t="str">
        <f aca="false">IF(AND(Entreprise!$C$13="Essentiel",M108=0),"Hors parcours",IF(AND(G108="Exclure",H108&lt;&gt;""),"Non",IF(G108="Inclure","Oui",IF(AND(G108="Auto",Entreprise!$C$20="Non"),"Non","Oui"))))</f>
        <v>Oui</v>
      </c>
      <c r="J108" s="14" t="n">
        <f aca="false">IF(T108=0,0,VLOOKUP(E108,Barèmes!$B$6:$C$11,2,FALSE()))</f>
        <v>0</v>
      </c>
      <c r="K108" s="24" t="n">
        <v>2</v>
      </c>
      <c r="L108" s="2" t="n">
        <v>0</v>
      </c>
      <c r="M108" s="2" t="n">
        <v>0</v>
      </c>
      <c r="N108" s="2" t="s">
        <v>120</v>
      </c>
      <c r="O108" s="16" t="n">
        <f aca="false">P108*J108</f>
        <v>0</v>
      </c>
      <c r="P108" s="16" t="n">
        <f aca="false">IF(I108="Oui",K108,0)</f>
        <v>2</v>
      </c>
      <c r="Q108" s="16" t="n">
        <f aca="false">P108-O108</f>
        <v>2</v>
      </c>
      <c r="R108" s="2" t="str">
        <f aca="false">IF(I108&lt;&gt;"Oui","Hors périmètre",IF(Q108=0,"Maintenir",IF(U108=1,"P1",IF(K108=3,"P2",IF(K108=2,"P3","P4")))))</f>
        <v>P3</v>
      </c>
      <c r="S108" s="2" t="n">
        <f aca="false">IF(OR(I108&lt;&gt;"Oui",Q108=0),0,COUNTIFS($R$8:$R$119,"&lt;"&amp;R108,$Q$8:$Q$119,"&gt;0")+COUNTIFS($R$8:$R$119,R108,$Q$8:$Q$119,"&gt;"&amp;Q108)+COUNTIFS($R$8:R108,R108,$Q$8:Q108,Q108))</f>
        <v>96</v>
      </c>
      <c r="T108" s="2" t="n">
        <f aca="false">IF(AND(I108="Oui",E108&lt;&gt;"",COUNTIFS(Barèmes!$B$6:$B$11,E108)=1),1,0)</f>
        <v>0</v>
      </c>
      <c r="U108" s="2" t="n">
        <f aca="false">IF(AND(I108="Oui",L108=1,J108&lt;Barèmes!$G$6),1,0)</f>
        <v>0</v>
      </c>
      <c r="V108" s="2" t="n">
        <f aca="false">IF(AND(I108="Oui",E108="Je ne sais pas"),1,0)</f>
        <v>0</v>
      </c>
      <c r="W108" s="2" t="n">
        <f aca="false">T108</f>
        <v>0</v>
      </c>
      <c r="X108" s="12" t="str">
        <f aca="false">IF(AND(G108="Exclure",H108=""),"Justifier l’exclusion",IF(AND(E108&lt;&gt;"",T108=0,I108="Oui"),"Réponse invalide",IF(AND(I108="Oui",G108="Auto",Entreprise!$C$20="À confirmer"),"Confirmer l’usage",IF(AND(E108="4 · Vérifié et suivi",F108="",I108="Oui"),"Preuve à référencer",""))))</f>
        <v/>
      </c>
    </row>
    <row r="109" customFormat="false" ht="85.5" hidden="false" customHeight="true" outlineLevel="0" collapsed="false">
      <c r="A109" s="12" t="s">
        <v>434</v>
      </c>
      <c r="B109" s="12" t="s">
        <v>32</v>
      </c>
      <c r="C109" s="12" t="s">
        <v>435</v>
      </c>
      <c r="D109" s="12" t="s">
        <v>436</v>
      </c>
      <c r="E109" s="22"/>
      <c r="F109" s="22"/>
      <c r="G109" s="22" t="s">
        <v>119</v>
      </c>
      <c r="H109" s="22"/>
      <c r="I109" s="12" t="str">
        <f aca="false">IF(AND(Entreprise!$C$13="Essentiel",M109=0),"Hors parcours",IF(AND(G109="Exclure",H109&lt;&gt;""),"Non",IF(G109="Inclure","Oui",IF(AND(G109="Auto",Entreprise!$C$20="Non"),"Non","Oui"))))</f>
        <v>Oui</v>
      </c>
      <c r="J109" s="14" t="n">
        <f aca="false">IF(T109=0,0,VLOOKUP(E109,Barèmes!$B$6:$C$11,2,FALSE()))</f>
        <v>0</v>
      </c>
      <c r="K109" s="24" t="n">
        <v>2</v>
      </c>
      <c r="L109" s="2" t="n">
        <v>0</v>
      </c>
      <c r="M109" s="2" t="n">
        <v>0</v>
      </c>
      <c r="N109" s="2" t="s">
        <v>120</v>
      </c>
      <c r="O109" s="16" t="n">
        <f aca="false">P109*J109</f>
        <v>0</v>
      </c>
      <c r="P109" s="16" t="n">
        <f aca="false">IF(I109="Oui",K109,0)</f>
        <v>2</v>
      </c>
      <c r="Q109" s="16" t="n">
        <f aca="false">P109-O109</f>
        <v>2</v>
      </c>
      <c r="R109" s="2" t="str">
        <f aca="false">IF(I109&lt;&gt;"Oui","Hors périmètre",IF(Q109=0,"Maintenir",IF(U109=1,"P1",IF(K109=3,"P2",IF(K109=2,"P3","P4")))))</f>
        <v>P3</v>
      </c>
      <c r="S109" s="2" t="n">
        <f aca="false">IF(OR(I109&lt;&gt;"Oui",Q109=0),0,COUNTIFS($R$8:$R$119,"&lt;"&amp;R109,$Q$8:$Q$119,"&gt;0")+COUNTIFS($R$8:$R$119,R109,$Q$8:$Q$119,"&gt;"&amp;Q109)+COUNTIFS($R$8:R109,R109,$Q$8:Q109,Q109))</f>
        <v>97</v>
      </c>
      <c r="T109" s="2" t="n">
        <f aca="false">IF(AND(I109="Oui",E109&lt;&gt;"",COUNTIFS(Barèmes!$B$6:$B$11,E109)=1),1,0)</f>
        <v>0</v>
      </c>
      <c r="U109" s="2" t="n">
        <f aca="false">IF(AND(I109="Oui",L109=1,J109&lt;Barèmes!$G$6),1,0)</f>
        <v>0</v>
      </c>
      <c r="V109" s="2" t="n">
        <f aca="false">IF(AND(I109="Oui",E109="Je ne sais pas"),1,0)</f>
        <v>0</v>
      </c>
      <c r="W109" s="2" t="n">
        <f aca="false">T109</f>
        <v>0</v>
      </c>
      <c r="X109" s="12" t="str">
        <f aca="false">IF(AND(G109="Exclure",H109=""),"Justifier l’exclusion",IF(AND(E109&lt;&gt;"",T109=0,I109="Oui"),"Réponse invalide",IF(AND(I109="Oui",G109="Auto",Entreprise!$C$20="À confirmer"),"Confirmer l’usage",IF(AND(E109="4 · Vérifié et suivi",F109="",I109="Oui"),"Preuve à référencer",""))))</f>
        <v/>
      </c>
    </row>
    <row r="110" customFormat="false" ht="85.5" hidden="false" customHeight="true" outlineLevel="0" collapsed="false">
      <c r="A110" s="12" t="s">
        <v>437</v>
      </c>
      <c r="B110" s="12" t="s">
        <v>32</v>
      </c>
      <c r="C110" s="12" t="s">
        <v>438</v>
      </c>
      <c r="D110" s="12" t="s">
        <v>439</v>
      </c>
      <c r="E110" s="22"/>
      <c r="F110" s="22"/>
      <c r="G110" s="22" t="s">
        <v>119</v>
      </c>
      <c r="H110" s="22"/>
      <c r="I110" s="12" t="str">
        <f aca="false">IF(AND(Entreprise!$C$13="Essentiel",M110=0),"Hors parcours",IF(AND(G110="Exclure",H110&lt;&gt;""),"Non",IF(G110="Inclure","Oui",IF(AND(G110="Auto",Entreprise!$C$20="Non"),"Non","Oui"))))</f>
        <v>Oui</v>
      </c>
      <c r="J110" s="14" t="n">
        <f aca="false">IF(T110=0,0,VLOOKUP(E110,Barèmes!$B$6:$C$11,2,FALSE()))</f>
        <v>0</v>
      </c>
      <c r="K110" s="24" t="n">
        <v>2</v>
      </c>
      <c r="L110" s="2" t="n">
        <v>0</v>
      </c>
      <c r="M110" s="2" t="n">
        <v>0</v>
      </c>
      <c r="N110" s="2" t="s">
        <v>120</v>
      </c>
      <c r="O110" s="16" t="n">
        <f aca="false">P110*J110</f>
        <v>0</v>
      </c>
      <c r="P110" s="16" t="n">
        <f aca="false">IF(I110="Oui",K110,0)</f>
        <v>2</v>
      </c>
      <c r="Q110" s="16" t="n">
        <f aca="false">P110-O110</f>
        <v>2</v>
      </c>
      <c r="R110" s="2" t="str">
        <f aca="false">IF(I110&lt;&gt;"Oui","Hors périmètre",IF(Q110=0,"Maintenir",IF(U110=1,"P1",IF(K110=3,"P2",IF(K110=2,"P3","P4")))))</f>
        <v>P3</v>
      </c>
      <c r="S110" s="2" t="n">
        <f aca="false">IF(OR(I110&lt;&gt;"Oui",Q110=0),0,COUNTIFS($R$8:$R$119,"&lt;"&amp;R110,$Q$8:$Q$119,"&gt;0")+COUNTIFS($R$8:$R$119,R110,$Q$8:$Q$119,"&gt;"&amp;Q110)+COUNTIFS($R$8:R110,R110,$Q$8:Q110,Q110))</f>
        <v>98</v>
      </c>
      <c r="T110" s="2" t="n">
        <f aca="false">IF(AND(I110="Oui",E110&lt;&gt;"",COUNTIFS(Barèmes!$B$6:$B$11,E110)=1),1,0)</f>
        <v>0</v>
      </c>
      <c r="U110" s="2" t="n">
        <f aca="false">IF(AND(I110="Oui",L110=1,J110&lt;Barèmes!$G$6),1,0)</f>
        <v>0</v>
      </c>
      <c r="V110" s="2" t="n">
        <f aca="false">IF(AND(I110="Oui",E110="Je ne sais pas"),1,0)</f>
        <v>0</v>
      </c>
      <c r="W110" s="2" t="n">
        <f aca="false">T110</f>
        <v>0</v>
      </c>
      <c r="X110" s="12" t="str">
        <f aca="false">IF(AND(G110="Exclure",H110=""),"Justifier l’exclusion",IF(AND(E110&lt;&gt;"",T110=0,I110="Oui"),"Réponse invalide",IF(AND(I110="Oui",G110="Auto",Entreprise!$C$20="À confirmer"),"Confirmer l’usage",IF(AND(E110="4 · Vérifié et suivi",F110="",I110="Oui"),"Preuve à référencer",""))))</f>
        <v/>
      </c>
    </row>
    <row r="111" customFormat="false" ht="85.5" hidden="false" customHeight="true" outlineLevel="0" collapsed="false">
      <c r="A111" s="12" t="s">
        <v>440</v>
      </c>
      <c r="B111" s="12" t="s">
        <v>32</v>
      </c>
      <c r="C111" s="12" t="s">
        <v>441</v>
      </c>
      <c r="D111" s="12" t="s">
        <v>442</v>
      </c>
      <c r="E111" s="22"/>
      <c r="F111" s="22"/>
      <c r="G111" s="22" t="s">
        <v>119</v>
      </c>
      <c r="H111" s="22"/>
      <c r="I111" s="12" t="str">
        <f aca="false">IF(AND(Entreprise!$C$13="Essentiel",M111=0),"Hors parcours",IF(AND(G111="Exclure",H111&lt;&gt;""),"Non",IF(G111="Inclure","Oui",IF(AND(G111="Auto",Entreprise!$C$20="Non"),"Non","Oui"))))</f>
        <v>Oui</v>
      </c>
      <c r="J111" s="14" t="n">
        <f aca="false">IF(T111=0,0,VLOOKUP(E111,Barèmes!$B$6:$C$11,2,FALSE()))</f>
        <v>0</v>
      </c>
      <c r="K111" s="24" t="n">
        <v>2</v>
      </c>
      <c r="L111" s="2" t="n">
        <v>0</v>
      </c>
      <c r="M111" s="2" t="n">
        <v>0</v>
      </c>
      <c r="N111" s="2" t="s">
        <v>120</v>
      </c>
      <c r="O111" s="16" t="n">
        <f aca="false">P111*J111</f>
        <v>0</v>
      </c>
      <c r="P111" s="16" t="n">
        <f aca="false">IF(I111="Oui",K111,0)</f>
        <v>2</v>
      </c>
      <c r="Q111" s="16" t="n">
        <f aca="false">P111-O111</f>
        <v>2</v>
      </c>
      <c r="R111" s="2" t="str">
        <f aca="false">IF(I111&lt;&gt;"Oui","Hors périmètre",IF(Q111=0,"Maintenir",IF(U111=1,"P1",IF(K111=3,"P2",IF(K111=2,"P3","P4")))))</f>
        <v>P3</v>
      </c>
      <c r="S111" s="2" t="n">
        <f aca="false">IF(OR(I111&lt;&gt;"Oui",Q111=0),0,COUNTIFS($R$8:$R$119,"&lt;"&amp;R111,$Q$8:$Q$119,"&gt;0")+COUNTIFS($R$8:$R$119,R111,$Q$8:$Q$119,"&gt;"&amp;Q111)+COUNTIFS($R$8:R111,R111,$Q$8:Q111,Q111))</f>
        <v>99</v>
      </c>
      <c r="T111" s="2" t="n">
        <f aca="false">IF(AND(I111="Oui",E111&lt;&gt;"",COUNTIFS(Barèmes!$B$6:$B$11,E111)=1),1,0)</f>
        <v>0</v>
      </c>
      <c r="U111" s="2" t="n">
        <f aca="false">IF(AND(I111="Oui",L111=1,J111&lt;Barèmes!$G$6),1,0)</f>
        <v>0</v>
      </c>
      <c r="V111" s="2" t="n">
        <f aca="false">IF(AND(I111="Oui",E111="Je ne sais pas"),1,0)</f>
        <v>0</v>
      </c>
      <c r="W111" s="2" t="n">
        <f aca="false">T111</f>
        <v>0</v>
      </c>
      <c r="X111" s="12" t="str">
        <f aca="false">IF(AND(G111="Exclure",H111=""),"Justifier l’exclusion",IF(AND(E111&lt;&gt;"",T111=0,I111="Oui"),"Réponse invalide",IF(AND(I111="Oui",G111="Auto",Entreprise!$C$20="À confirmer"),"Confirmer l’usage",IF(AND(E111="4 · Vérifié et suivi",F111="",I111="Oui"),"Preuve à référencer",""))))</f>
        <v/>
      </c>
    </row>
    <row r="112" customFormat="false" ht="85.5" hidden="false" customHeight="true" outlineLevel="0" collapsed="false">
      <c r="A112" s="12" t="s">
        <v>443</v>
      </c>
      <c r="B112" s="12" t="s">
        <v>33</v>
      </c>
      <c r="C112" s="12" t="s">
        <v>444</v>
      </c>
      <c r="D112" s="12" t="s">
        <v>445</v>
      </c>
      <c r="E112" s="22"/>
      <c r="F112" s="22"/>
      <c r="G112" s="22" t="s">
        <v>119</v>
      </c>
      <c r="H112" s="22"/>
      <c r="I112" s="12" t="str">
        <f aca="false">IF(AND(Entreprise!$C$13="Essentiel",M112=0),"Hors parcours",IF(AND(G112="Exclure",H112&lt;&gt;""),"Non",IF(G112="Inclure","Oui",IF(AND(G112="Auto",Entreprise!$C$20="Non"),"Non","Oui"))))</f>
        <v>Oui</v>
      </c>
      <c r="J112" s="14" t="n">
        <f aca="false">IF(T112=0,0,VLOOKUP(E112,Barèmes!$B$6:$C$11,2,FALSE()))</f>
        <v>0</v>
      </c>
      <c r="K112" s="24" t="n">
        <v>3</v>
      </c>
      <c r="L112" s="2" t="n">
        <v>0</v>
      </c>
      <c r="M112" s="2" t="n">
        <v>1</v>
      </c>
      <c r="N112" s="2" t="s">
        <v>120</v>
      </c>
      <c r="O112" s="16" t="n">
        <f aca="false">P112*J112</f>
        <v>0</v>
      </c>
      <c r="P112" s="16" t="n">
        <f aca="false">IF(I112="Oui",K112,0)</f>
        <v>3</v>
      </c>
      <c r="Q112" s="16" t="n">
        <f aca="false">P112-O112</f>
        <v>3</v>
      </c>
      <c r="R112" s="2" t="str">
        <f aca="false">IF(I112&lt;&gt;"Oui","Hors périmètre",IF(Q112=0,"Maintenir",IF(U112=1,"P1",IF(K112=3,"P2",IF(K112=2,"P3","P4")))))</f>
        <v>P2</v>
      </c>
      <c r="S112" s="2" t="n">
        <f aca="false">IF(OR(I112&lt;&gt;"Oui",Q112=0),0,COUNTIFS($R$8:$R$119,"&lt;"&amp;R112,$Q$8:$Q$119,"&gt;0")+COUNTIFS($R$8:$R$119,R112,$Q$8:$Q$119,"&gt;"&amp;Q112)+COUNTIFS($R$8:R112,R112,$Q$8:Q112,Q112))</f>
        <v>39</v>
      </c>
      <c r="T112" s="2" t="n">
        <f aca="false">IF(AND(I112="Oui",E112&lt;&gt;"",COUNTIFS(Barèmes!$B$6:$B$11,E112)=1),1,0)</f>
        <v>0</v>
      </c>
      <c r="U112" s="2" t="n">
        <f aca="false">IF(AND(I112="Oui",L112=1,J112&lt;Barèmes!$G$6),1,0)</f>
        <v>0</v>
      </c>
      <c r="V112" s="2" t="n">
        <f aca="false">IF(AND(I112="Oui",E112="Je ne sais pas"),1,0)</f>
        <v>0</v>
      </c>
      <c r="W112" s="2" t="n">
        <f aca="false">T112</f>
        <v>0</v>
      </c>
      <c r="X112" s="12" t="str">
        <f aca="false">IF(AND(G112="Exclure",H112=""),"Justifier l’exclusion",IF(AND(E112&lt;&gt;"",T112=0,I112="Oui"),"Réponse invalide",IF(AND(I112="Oui",G112="Auto",Entreprise!$C$20="À confirmer"),"Confirmer l’usage",IF(AND(E112="4 · Vérifié et suivi",F112="",I112="Oui"),"Preuve à référencer",""))))</f>
        <v/>
      </c>
    </row>
    <row r="113" customFormat="false" ht="85.5" hidden="false" customHeight="true" outlineLevel="0" collapsed="false">
      <c r="A113" s="12" t="s">
        <v>446</v>
      </c>
      <c r="B113" s="12" t="s">
        <v>33</v>
      </c>
      <c r="C113" s="12" t="s">
        <v>447</v>
      </c>
      <c r="D113" s="12" t="s">
        <v>448</v>
      </c>
      <c r="E113" s="22"/>
      <c r="F113" s="22"/>
      <c r="G113" s="22" t="s">
        <v>119</v>
      </c>
      <c r="H113" s="22"/>
      <c r="I113" s="12" t="str">
        <f aca="false">IF(AND(Entreprise!$C$13="Essentiel",M113=0),"Hors parcours",IF(AND(G113="Exclure",H113&lt;&gt;""),"Non",IF(G113="Inclure","Oui",IF(AND(G113="Auto",Entreprise!$C$20="Non"),"Non","Oui"))))</f>
        <v>Oui</v>
      </c>
      <c r="J113" s="14" t="n">
        <f aca="false">IF(T113=0,0,VLOOKUP(E113,Barèmes!$B$6:$C$11,2,FALSE()))</f>
        <v>0</v>
      </c>
      <c r="K113" s="24" t="n">
        <v>3</v>
      </c>
      <c r="L113" s="2" t="n">
        <v>0</v>
      </c>
      <c r="M113" s="2" t="n">
        <v>1</v>
      </c>
      <c r="N113" s="2" t="s">
        <v>120</v>
      </c>
      <c r="O113" s="16" t="n">
        <f aca="false">P113*J113</f>
        <v>0</v>
      </c>
      <c r="P113" s="16" t="n">
        <f aca="false">IF(I113="Oui",K113,0)</f>
        <v>3</v>
      </c>
      <c r="Q113" s="16" t="n">
        <f aca="false">P113-O113</f>
        <v>3</v>
      </c>
      <c r="R113" s="2" t="str">
        <f aca="false">IF(I113&lt;&gt;"Oui","Hors périmètre",IF(Q113=0,"Maintenir",IF(U113=1,"P1",IF(K113=3,"P2",IF(K113=2,"P3","P4")))))</f>
        <v>P2</v>
      </c>
      <c r="S113" s="2" t="n">
        <f aca="false">IF(OR(I113&lt;&gt;"Oui",Q113=0),0,COUNTIFS($R$8:$R$119,"&lt;"&amp;R113,$Q$8:$Q$119,"&gt;0")+COUNTIFS($R$8:$R$119,R113,$Q$8:$Q$119,"&gt;"&amp;Q113)+COUNTIFS($R$8:R113,R113,$Q$8:Q113,Q113))</f>
        <v>40</v>
      </c>
      <c r="T113" s="2" t="n">
        <f aca="false">IF(AND(I113="Oui",E113&lt;&gt;"",COUNTIFS(Barèmes!$B$6:$B$11,E113)=1),1,0)</f>
        <v>0</v>
      </c>
      <c r="U113" s="2" t="n">
        <f aca="false">IF(AND(I113="Oui",L113=1,J113&lt;Barèmes!$G$6),1,0)</f>
        <v>0</v>
      </c>
      <c r="V113" s="2" t="n">
        <f aca="false">IF(AND(I113="Oui",E113="Je ne sais pas"),1,0)</f>
        <v>0</v>
      </c>
      <c r="W113" s="2" t="n">
        <f aca="false">T113</f>
        <v>0</v>
      </c>
      <c r="X113" s="12" t="str">
        <f aca="false">IF(AND(G113="Exclure",H113=""),"Justifier l’exclusion",IF(AND(E113&lt;&gt;"",T113=0,I113="Oui"),"Réponse invalide",IF(AND(I113="Oui",G113="Auto",Entreprise!$C$20="À confirmer"),"Confirmer l’usage",IF(AND(E113="4 · Vérifié et suivi",F113="",I113="Oui"),"Preuve à référencer",""))))</f>
        <v/>
      </c>
    </row>
    <row r="114" customFormat="false" ht="85.5" hidden="false" customHeight="true" outlineLevel="0" collapsed="false">
      <c r="A114" s="12" t="s">
        <v>449</v>
      </c>
      <c r="B114" s="12" t="s">
        <v>33</v>
      </c>
      <c r="C114" s="12" t="s">
        <v>450</v>
      </c>
      <c r="D114" s="12" t="s">
        <v>451</v>
      </c>
      <c r="E114" s="22"/>
      <c r="F114" s="22"/>
      <c r="G114" s="22" t="s">
        <v>119</v>
      </c>
      <c r="H114" s="22"/>
      <c r="I114" s="12" t="str">
        <f aca="false">IF(AND(Entreprise!$C$13="Essentiel",M114=0),"Hors parcours",IF(AND(G114="Exclure",H114&lt;&gt;""),"Non",IF(G114="Inclure","Oui",IF(AND(G114="Auto",Entreprise!$C$20="Non"),"Non","Oui"))))</f>
        <v>Oui</v>
      </c>
      <c r="J114" s="14" t="n">
        <f aca="false">IF(T114=0,0,VLOOKUP(E114,Barèmes!$B$6:$C$11,2,FALSE()))</f>
        <v>0</v>
      </c>
      <c r="K114" s="24" t="n">
        <v>3</v>
      </c>
      <c r="L114" s="2" t="n">
        <v>0</v>
      </c>
      <c r="M114" s="2" t="n">
        <v>0</v>
      </c>
      <c r="N114" s="2" t="s">
        <v>120</v>
      </c>
      <c r="O114" s="16" t="n">
        <f aca="false">P114*J114</f>
        <v>0</v>
      </c>
      <c r="P114" s="16" t="n">
        <f aca="false">IF(I114="Oui",K114,0)</f>
        <v>3</v>
      </c>
      <c r="Q114" s="16" t="n">
        <f aca="false">P114-O114</f>
        <v>3</v>
      </c>
      <c r="R114" s="2" t="str">
        <f aca="false">IF(I114&lt;&gt;"Oui","Hors périmètre",IF(Q114=0,"Maintenir",IF(U114=1,"P1",IF(K114=3,"P2",IF(K114=2,"P3","P4")))))</f>
        <v>P2</v>
      </c>
      <c r="S114" s="2" t="n">
        <f aca="false">IF(OR(I114&lt;&gt;"Oui",Q114=0),0,COUNTIFS($R$8:$R$119,"&lt;"&amp;R114,$Q$8:$Q$119,"&gt;0")+COUNTIFS($R$8:$R$119,R114,$Q$8:$Q$119,"&gt;"&amp;Q114)+COUNTIFS($R$8:R114,R114,$Q$8:Q114,Q114))</f>
        <v>41</v>
      </c>
      <c r="T114" s="2" t="n">
        <f aca="false">IF(AND(I114="Oui",E114&lt;&gt;"",COUNTIFS(Barèmes!$B$6:$B$11,E114)=1),1,0)</f>
        <v>0</v>
      </c>
      <c r="U114" s="2" t="n">
        <f aca="false">IF(AND(I114="Oui",L114=1,J114&lt;Barèmes!$G$6),1,0)</f>
        <v>0</v>
      </c>
      <c r="V114" s="2" t="n">
        <f aca="false">IF(AND(I114="Oui",E114="Je ne sais pas"),1,0)</f>
        <v>0</v>
      </c>
      <c r="W114" s="2" t="n">
        <f aca="false">T114</f>
        <v>0</v>
      </c>
      <c r="X114" s="12" t="str">
        <f aca="false">IF(AND(G114="Exclure",H114=""),"Justifier l’exclusion",IF(AND(E114&lt;&gt;"",T114=0,I114="Oui"),"Réponse invalide",IF(AND(I114="Oui",G114="Auto",Entreprise!$C$20="À confirmer"),"Confirmer l’usage",IF(AND(E114="4 · Vérifié et suivi",F114="",I114="Oui"),"Preuve à référencer",""))))</f>
        <v/>
      </c>
    </row>
    <row r="115" customFormat="false" ht="85.5" hidden="false" customHeight="true" outlineLevel="0" collapsed="false">
      <c r="A115" s="12" t="s">
        <v>452</v>
      </c>
      <c r="B115" s="12" t="s">
        <v>33</v>
      </c>
      <c r="C115" s="12" t="s">
        <v>453</v>
      </c>
      <c r="D115" s="12" t="s">
        <v>454</v>
      </c>
      <c r="E115" s="22"/>
      <c r="F115" s="22"/>
      <c r="G115" s="22" t="s">
        <v>119</v>
      </c>
      <c r="H115" s="22"/>
      <c r="I115" s="12" t="str">
        <f aca="false">IF(AND(Entreprise!$C$13="Essentiel",M115=0),"Hors parcours",IF(AND(G115="Exclure",H115&lt;&gt;""),"Non",IF(G115="Inclure","Oui",IF(AND(G115="Auto",Entreprise!$C$20="Non"),"Non","Oui"))))</f>
        <v>Oui</v>
      </c>
      <c r="J115" s="14" t="n">
        <f aca="false">IF(T115=0,0,VLOOKUP(E115,Barèmes!$B$6:$C$11,2,FALSE()))</f>
        <v>0</v>
      </c>
      <c r="K115" s="24" t="n">
        <v>2</v>
      </c>
      <c r="L115" s="2" t="n">
        <v>0</v>
      </c>
      <c r="M115" s="2" t="n">
        <v>0</v>
      </c>
      <c r="N115" s="2" t="s">
        <v>120</v>
      </c>
      <c r="O115" s="16" t="n">
        <f aca="false">P115*J115</f>
        <v>0</v>
      </c>
      <c r="P115" s="16" t="n">
        <f aca="false">IF(I115="Oui",K115,0)</f>
        <v>2</v>
      </c>
      <c r="Q115" s="16" t="n">
        <f aca="false">P115-O115</f>
        <v>2</v>
      </c>
      <c r="R115" s="2" t="str">
        <f aca="false">IF(I115&lt;&gt;"Oui","Hors périmètre",IF(Q115=0,"Maintenir",IF(U115=1,"P1",IF(K115=3,"P2",IF(K115=2,"P3","P4")))))</f>
        <v>P3</v>
      </c>
      <c r="S115" s="2" t="n">
        <f aca="false">IF(OR(I115&lt;&gt;"Oui",Q115=0),0,COUNTIFS($R$8:$R$119,"&lt;"&amp;R115,$Q$8:$Q$119,"&gt;0")+COUNTIFS($R$8:$R$119,R115,$Q$8:$Q$119,"&gt;"&amp;Q115)+COUNTIFS($R$8:R115,R115,$Q$8:Q115,Q115))</f>
        <v>100</v>
      </c>
      <c r="T115" s="2" t="n">
        <f aca="false">IF(AND(I115="Oui",E115&lt;&gt;"",COUNTIFS(Barèmes!$B$6:$B$11,E115)=1),1,0)</f>
        <v>0</v>
      </c>
      <c r="U115" s="2" t="n">
        <f aca="false">IF(AND(I115="Oui",L115=1,J115&lt;Barèmes!$G$6),1,0)</f>
        <v>0</v>
      </c>
      <c r="V115" s="2" t="n">
        <f aca="false">IF(AND(I115="Oui",E115="Je ne sais pas"),1,0)</f>
        <v>0</v>
      </c>
      <c r="W115" s="2" t="n">
        <f aca="false">T115</f>
        <v>0</v>
      </c>
      <c r="X115" s="12" t="str">
        <f aca="false">IF(AND(G115="Exclure",H115=""),"Justifier l’exclusion",IF(AND(E115&lt;&gt;"",T115=0,I115="Oui"),"Réponse invalide",IF(AND(I115="Oui",G115="Auto",Entreprise!$C$20="À confirmer"),"Confirmer l’usage",IF(AND(E115="4 · Vérifié et suivi",F115="",I115="Oui"),"Preuve à référencer",""))))</f>
        <v/>
      </c>
    </row>
    <row r="116" customFormat="false" ht="85.5" hidden="false" customHeight="true" outlineLevel="0" collapsed="false">
      <c r="A116" s="12" t="s">
        <v>455</v>
      </c>
      <c r="B116" s="12" t="s">
        <v>33</v>
      </c>
      <c r="C116" s="12" t="s">
        <v>456</v>
      </c>
      <c r="D116" s="12" t="s">
        <v>457</v>
      </c>
      <c r="E116" s="22"/>
      <c r="F116" s="22"/>
      <c r="G116" s="22" t="s">
        <v>119</v>
      </c>
      <c r="H116" s="22"/>
      <c r="I116" s="12" t="str">
        <f aca="false">IF(AND(Entreprise!$C$13="Essentiel",M116=0),"Hors parcours",IF(AND(G116="Exclure",H116&lt;&gt;""),"Non",IF(G116="Inclure","Oui",IF(AND(G116="Auto",Entreprise!$C$20="Non"),"Non","Oui"))))</f>
        <v>Oui</v>
      </c>
      <c r="J116" s="14" t="n">
        <f aca="false">IF(T116=0,0,VLOOKUP(E116,Barèmes!$B$6:$C$11,2,FALSE()))</f>
        <v>0</v>
      </c>
      <c r="K116" s="24" t="n">
        <v>2</v>
      </c>
      <c r="L116" s="2" t="n">
        <v>0</v>
      </c>
      <c r="M116" s="2" t="n">
        <v>0</v>
      </c>
      <c r="N116" s="2" t="s">
        <v>120</v>
      </c>
      <c r="O116" s="16" t="n">
        <f aca="false">P116*J116</f>
        <v>0</v>
      </c>
      <c r="P116" s="16" t="n">
        <f aca="false">IF(I116="Oui",K116,0)</f>
        <v>2</v>
      </c>
      <c r="Q116" s="16" t="n">
        <f aca="false">P116-O116</f>
        <v>2</v>
      </c>
      <c r="R116" s="2" t="str">
        <f aca="false">IF(I116&lt;&gt;"Oui","Hors périmètre",IF(Q116=0,"Maintenir",IF(U116=1,"P1",IF(K116=3,"P2",IF(K116=2,"P3","P4")))))</f>
        <v>P3</v>
      </c>
      <c r="S116" s="2" t="n">
        <f aca="false">IF(OR(I116&lt;&gt;"Oui",Q116=0),0,COUNTIFS($R$8:$R$119,"&lt;"&amp;R116,$Q$8:$Q$119,"&gt;0")+COUNTIFS($R$8:$R$119,R116,$Q$8:$Q$119,"&gt;"&amp;Q116)+COUNTIFS($R$8:R116,R116,$Q$8:Q116,Q116))</f>
        <v>101</v>
      </c>
      <c r="T116" s="2" t="n">
        <f aca="false">IF(AND(I116="Oui",E116&lt;&gt;"",COUNTIFS(Barèmes!$B$6:$B$11,E116)=1),1,0)</f>
        <v>0</v>
      </c>
      <c r="U116" s="2" t="n">
        <f aca="false">IF(AND(I116="Oui",L116=1,J116&lt;Barèmes!$G$6),1,0)</f>
        <v>0</v>
      </c>
      <c r="V116" s="2" t="n">
        <f aca="false">IF(AND(I116="Oui",E116="Je ne sais pas"),1,0)</f>
        <v>0</v>
      </c>
      <c r="W116" s="2" t="n">
        <f aca="false">T116</f>
        <v>0</v>
      </c>
      <c r="X116" s="12" t="str">
        <f aca="false">IF(AND(G116="Exclure",H116=""),"Justifier l’exclusion",IF(AND(E116&lt;&gt;"",T116=0,I116="Oui"),"Réponse invalide",IF(AND(I116="Oui",G116="Auto",Entreprise!$C$20="À confirmer"),"Confirmer l’usage",IF(AND(E116="4 · Vérifié et suivi",F116="",I116="Oui"),"Preuve à référencer",""))))</f>
        <v/>
      </c>
    </row>
    <row r="117" customFormat="false" ht="85.5" hidden="false" customHeight="true" outlineLevel="0" collapsed="false">
      <c r="A117" s="12" t="s">
        <v>458</v>
      </c>
      <c r="B117" s="12" t="s">
        <v>33</v>
      </c>
      <c r="C117" s="12" t="s">
        <v>459</v>
      </c>
      <c r="D117" s="12" t="s">
        <v>460</v>
      </c>
      <c r="E117" s="22"/>
      <c r="F117" s="22"/>
      <c r="G117" s="22" t="s">
        <v>119</v>
      </c>
      <c r="H117" s="22"/>
      <c r="I117" s="12" t="str">
        <f aca="false">IF(AND(Entreprise!$C$13="Essentiel",M117=0),"Hors parcours",IF(AND(G117="Exclure",H117&lt;&gt;""),"Non",IF(G117="Inclure","Oui",IF(AND(G117="Auto",Entreprise!$C$20="Non"),"Non","Oui"))))</f>
        <v>Oui</v>
      </c>
      <c r="J117" s="14" t="n">
        <f aca="false">IF(T117=0,0,VLOOKUP(E117,Barèmes!$B$6:$C$11,2,FALSE()))</f>
        <v>0</v>
      </c>
      <c r="K117" s="24" t="n">
        <v>2</v>
      </c>
      <c r="L117" s="2" t="n">
        <v>0</v>
      </c>
      <c r="M117" s="2" t="n">
        <v>0</v>
      </c>
      <c r="N117" s="2" t="s">
        <v>120</v>
      </c>
      <c r="O117" s="16" t="n">
        <f aca="false">P117*J117</f>
        <v>0</v>
      </c>
      <c r="P117" s="16" t="n">
        <f aca="false">IF(I117="Oui",K117,0)</f>
        <v>2</v>
      </c>
      <c r="Q117" s="16" t="n">
        <f aca="false">P117-O117</f>
        <v>2</v>
      </c>
      <c r="R117" s="2" t="str">
        <f aca="false">IF(I117&lt;&gt;"Oui","Hors périmètre",IF(Q117=0,"Maintenir",IF(U117=1,"P1",IF(K117=3,"P2",IF(K117=2,"P3","P4")))))</f>
        <v>P3</v>
      </c>
      <c r="S117" s="2" t="n">
        <f aca="false">IF(OR(I117&lt;&gt;"Oui",Q117=0),0,COUNTIFS($R$8:$R$119,"&lt;"&amp;R117,$Q$8:$Q$119,"&gt;0")+COUNTIFS($R$8:$R$119,R117,$Q$8:$Q$119,"&gt;"&amp;Q117)+COUNTIFS($R$8:R117,R117,$Q$8:Q117,Q117))</f>
        <v>102</v>
      </c>
      <c r="T117" s="2" t="n">
        <f aca="false">IF(AND(I117="Oui",E117&lt;&gt;"",COUNTIFS(Barèmes!$B$6:$B$11,E117)=1),1,0)</f>
        <v>0</v>
      </c>
      <c r="U117" s="2" t="n">
        <f aca="false">IF(AND(I117="Oui",L117=1,J117&lt;Barèmes!$G$6),1,0)</f>
        <v>0</v>
      </c>
      <c r="V117" s="2" t="n">
        <f aca="false">IF(AND(I117="Oui",E117="Je ne sais pas"),1,0)</f>
        <v>0</v>
      </c>
      <c r="W117" s="2" t="n">
        <f aca="false">T117</f>
        <v>0</v>
      </c>
      <c r="X117" s="12" t="str">
        <f aca="false">IF(AND(G117="Exclure",H117=""),"Justifier l’exclusion",IF(AND(E117&lt;&gt;"",T117=0,I117="Oui"),"Réponse invalide",IF(AND(I117="Oui",G117="Auto",Entreprise!$C$20="À confirmer"),"Confirmer l’usage",IF(AND(E117="4 · Vérifié et suivi",F117="",I117="Oui"),"Preuve à référencer",""))))</f>
        <v/>
      </c>
    </row>
    <row r="118" customFormat="false" ht="85.5" hidden="false" customHeight="true" outlineLevel="0" collapsed="false">
      <c r="A118" s="12" t="s">
        <v>461</v>
      </c>
      <c r="B118" s="12" t="s">
        <v>33</v>
      </c>
      <c r="C118" s="12" t="s">
        <v>462</v>
      </c>
      <c r="D118" s="12" t="s">
        <v>463</v>
      </c>
      <c r="E118" s="22"/>
      <c r="F118" s="22"/>
      <c r="G118" s="22" t="s">
        <v>119</v>
      </c>
      <c r="H118" s="22"/>
      <c r="I118" s="12" t="str">
        <f aca="false">IF(AND(Entreprise!$C$13="Essentiel",M118=0),"Hors parcours",IF(AND(G118="Exclure",H118&lt;&gt;""),"Non",IF(G118="Inclure","Oui",IF(AND(G118="Auto",Entreprise!$C$20="Non"),"Non","Oui"))))</f>
        <v>Oui</v>
      </c>
      <c r="J118" s="14" t="n">
        <f aca="false">IF(T118=0,0,VLOOKUP(E118,Barèmes!$B$6:$C$11,2,FALSE()))</f>
        <v>0</v>
      </c>
      <c r="K118" s="24" t="n">
        <v>2</v>
      </c>
      <c r="L118" s="2" t="n">
        <v>0</v>
      </c>
      <c r="M118" s="2" t="n">
        <v>0</v>
      </c>
      <c r="N118" s="2" t="s">
        <v>120</v>
      </c>
      <c r="O118" s="16" t="n">
        <f aca="false">P118*J118</f>
        <v>0</v>
      </c>
      <c r="P118" s="16" t="n">
        <f aca="false">IF(I118="Oui",K118,0)</f>
        <v>2</v>
      </c>
      <c r="Q118" s="16" t="n">
        <f aca="false">P118-O118</f>
        <v>2</v>
      </c>
      <c r="R118" s="2" t="str">
        <f aca="false">IF(I118&lt;&gt;"Oui","Hors périmètre",IF(Q118=0,"Maintenir",IF(U118=1,"P1",IF(K118=3,"P2",IF(K118=2,"P3","P4")))))</f>
        <v>P3</v>
      </c>
      <c r="S118" s="2" t="n">
        <f aca="false">IF(OR(I118&lt;&gt;"Oui",Q118=0),0,COUNTIFS($R$8:$R$119,"&lt;"&amp;R118,$Q$8:$Q$119,"&gt;0")+COUNTIFS($R$8:$R$119,R118,$Q$8:$Q$119,"&gt;"&amp;Q118)+COUNTIFS($R$8:R118,R118,$Q$8:Q118,Q118))</f>
        <v>103</v>
      </c>
      <c r="T118" s="2" t="n">
        <f aca="false">IF(AND(I118="Oui",E118&lt;&gt;"",COUNTIFS(Barèmes!$B$6:$B$11,E118)=1),1,0)</f>
        <v>0</v>
      </c>
      <c r="U118" s="2" t="n">
        <f aca="false">IF(AND(I118="Oui",L118=1,J118&lt;Barèmes!$G$6),1,0)</f>
        <v>0</v>
      </c>
      <c r="V118" s="2" t="n">
        <f aca="false">IF(AND(I118="Oui",E118="Je ne sais pas"),1,0)</f>
        <v>0</v>
      </c>
      <c r="W118" s="2" t="n">
        <f aca="false">T118</f>
        <v>0</v>
      </c>
      <c r="X118" s="12" t="str">
        <f aca="false">IF(AND(G118="Exclure",H118=""),"Justifier l’exclusion",IF(AND(E118&lt;&gt;"",T118=0,I118="Oui"),"Réponse invalide",IF(AND(I118="Oui",G118="Auto",Entreprise!$C$20="À confirmer"),"Confirmer l’usage",IF(AND(E118="4 · Vérifié et suivi",F118="",I118="Oui"),"Preuve à référencer",""))))</f>
        <v/>
      </c>
    </row>
    <row r="119" customFormat="false" ht="85.5" hidden="false" customHeight="true" outlineLevel="0" collapsed="false">
      <c r="A119" s="12" t="s">
        <v>464</v>
      </c>
      <c r="B119" s="12" t="s">
        <v>33</v>
      </c>
      <c r="C119" s="12" t="s">
        <v>465</v>
      </c>
      <c r="D119" s="12" t="s">
        <v>466</v>
      </c>
      <c r="E119" s="22"/>
      <c r="F119" s="22"/>
      <c r="G119" s="22" t="s">
        <v>119</v>
      </c>
      <c r="H119" s="22"/>
      <c r="I119" s="12" t="str">
        <f aca="false">IF(AND(Entreprise!$C$13="Essentiel",M119=0),"Hors parcours",IF(AND(G119="Exclure",H119&lt;&gt;""),"Non",IF(G119="Inclure","Oui",IF(AND(G119="Auto",Entreprise!$C$21="Non"),"Non","Oui"))))</f>
        <v>Oui</v>
      </c>
      <c r="J119" s="14" t="n">
        <f aca="false">IF(T119=0,0,VLOOKUP(E119,Barèmes!$B$6:$C$11,2,FALSE()))</f>
        <v>0</v>
      </c>
      <c r="K119" s="24" t="n">
        <v>1</v>
      </c>
      <c r="L119" s="2" t="n">
        <v>0</v>
      </c>
      <c r="M119" s="2" t="n">
        <v>0</v>
      </c>
      <c r="N119" s="2" t="s">
        <v>197</v>
      </c>
      <c r="O119" s="16" t="n">
        <f aca="false">P119*J119</f>
        <v>0</v>
      </c>
      <c r="P119" s="16" t="n">
        <f aca="false">IF(I119="Oui",K119,0)</f>
        <v>1</v>
      </c>
      <c r="Q119" s="16" t="n">
        <f aca="false">P119-O119</f>
        <v>1</v>
      </c>
      <c r="R119" s="2" t="str">
        <f aca="false">IF(I119&lt;&gt;"Oui","Hors périmètre",IF(Q119=0,"Maintenir",IF(U119=1,"P1",IF(K119=3,"P2",IF(K119=2,"P3","P4")))))</f>
        <v>P4</v>
      </c>
      <c r="S119" s="2" t="n">
        <f aca="false">IF(OR(I119&lt;&gt;"Oui",Q119=0),0,COUNTIFS($R$8:$R$119,"&lt;"&amp;R119,$Q$8:$Q$119,"&gt;0")+COUNTIFS($R$8:$R$119,R119,$Q$8:$Q$119,"&gt;"&amp;Q119)+COUNTIFS($R$8:R119,R119,$Q$8:Q119,Q119))</f>
        <v>112</v>
      </c>
      <c r="T119" s="2" t="n">
        <f aca="false">IF(AND(I119="Oui",E119&lt;&gt;"",COUNTIFS(Barèmes!$B$6:$B$11,E119)=1),1,0)</f>
        <v>0</v>
      </c>
      <c r="U119" s="2" t="n">
        <f aca="false">IF(AND(I119="Oui",L119=1,J119&lt;Barèmes!$G$6),1,0)</f>
        <v>0</v>
      </c>
      <c r="V119" s="2" t="n">
        <f aca="false">IF(AND(I119="Oui",E119="Je ne sais pas"),1,0)</f>
        <v>0</v>
      </c>
      <c r="W119" s="2" t="n">
        <f aca="false">T119</f>
        <v>0</v>
      </c>
      <c r="X119" s="12" t="str">
        <f aca="false">IF(AND(G119="Exclure",H119=""),"Justifier l’exclusion",IF(AND(E119&lt;&gt;"",T119=0,I119="Oui"),"Réponse invalide",IF(AND(I119="Oui",G119="Auto",Entreprise!$C$21="À confirmer"),"Confirmer l’usage",IF(AND(E119="4 · Vérifié et suivi",F119="",I119="Oui"),"Preuve à référencer",""))))</f>
        <v>Confirmer l’usage</v>
      </c>
    </row>
  </sheetData>
  <mergeCells count="3">
    <mergeCell ref="A2:H2"/>
    <mergeCell ref="A3:H3"/>
    <mergeCell ref="A4:H4"/>
  </mergeCells>
  <conditionalFormatting sqref="R8:R119">
    <cfRule type="containsText" priority="2" operator="containsText" aboveAverage="0" equalAverage="0" bottom="0" percent="0" rank="0" text="P1" dxfId="3">
      <formula>NOT(ISERROR(SEARCH("P1",R8)))</formula>
    </cfRule>
  </conditionalFormatting>
  <conditionalFormatting sqref="I8:I119">
    <cfRule type="containsText" priority="3" operator="containsText" aboveAverage="0" equalAverage="0" bottom="0" percent="0" rank="0" text="Non" dxfId="12">
      <formula>NOT(ISERROR(SEARCH("Non",I8)))</formula>
    </cfRule>
  </conditionalFormatting>
  <conditionalFormatting sqref="E8:E119">
    <cfRule type="containsText" priority="4" operator="containsText" aboveAverage="0" equalAverage="0" bottom="0" percent="0" rank="0" text="Je ne sais pas" dxfId="13">
      <formula>NOT(ISERROR(SEARCH("Je ne sais pas",E8)))</formula>
    </cfRule>
  </conditionalFormatting>
  <conditionalFormatting sqref="X8:X119">
    <cfRule type="expression" priority="5" aboveAverage="0" equalAverage="0" bottom="0" percent="0" rank="0" text="" dxfId="14">
      <formula>X8&lt;&gt;""</formula>
    </cfRule>
  </conditionalFormatting>
  <dataValidations count="3">
    <dataValidation allowBlank="false" errorStyle="stop" operator="between" showDropDown="false" showErrorMessage="false" showInputMessage="false" sqref="E8:E119" type="list">
      <formula1>"0 · Non en place,1 · En projet,2 · Partiellement,3 · Déployé,4 · Vérifié et suivi,Je ne sais pas"</formula1>
      <formula2>0</formula2>
    </dataValidation>
    <dataValidation allowBlank="false" errorStyle="stop" operator="between" showDropDown="false" showErrorMessage="false" showInputMessage="false" sqref="G8:G119" type="list">
      <formula1>"Auto,Inclure,Exclure"</formula1>
      <formula2>0</formula2>
    </dataValidation>
    <dataValidation allowBlank="false" errorStyle="stop" operator="between" showDropDown="false" showErrorMessage="false" showInputMessage="false" sqref="K8:K119" type="whole">
      <formula1>1</formula1>
      <formula2>3</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27"/>
    <col collapsed="false" customWidth="true" hidden="false" outlineLevel="0" max="3" min="3" style="1" width="14"/>
    <col collapsed="false" customWidth="true" hidden="false" outlineLevel="0" max="4" min="4" style="1" width="80"/>
    <col collapsed="false" customWidth="true" hidden="false" outlineLevel="0" max="5" min="5" style="1" width="13"/>
    <col collapsed="false" customWidth="true" hidden="false" outlineLevel="0" max="6" min="6" style="1" width="25"/>
    <col collapsed="false" customWidth="true" hidden="false" outlineLevel="0" max="7" min="7" style="1" width="16"/>
    <col collapsed="false" customWidth="true" hidden="false" outlineLevel="0" max="8" min="8" style="1" width="20"/>
    <col collapsed="false" customWidth="true" hidden="false" outlineLevel="0" max="9" min="9" style="1" width="40"/>
    <col collapsed="false" customWidth="true" hidden="false" outlineLevel="0" max="10" min="10" style="1" width="17"/>
    <col collapsed="false" customWidth="true" hidden="false" outlineLevel="0" max="11" min="11" style="1" width="16"/>
    <col collapsed="false" customWidth="true" hidden="false" outlineLevel="0" max="12" min="12" style="1" width="30"/>
    <col collapsed="false" customWidth="true" hidden="false" outlineLevel="0" max="13" min="13" style="1" width="10"/>
    <col collapsed="false" customWidth="true" hidden="false" outlineLevel="0" max="14" min="14" style="1" width="17"/>
  </cols>
  <sheetData>
    <row r="1" customFormat="false" ht="15" hidden="false" customHeight="true" outlineLevel="0" collapsed="false">
      <c r="A1" s="2"/>
      <c r="B1" s="2"/>
      <c r="C1" s="2"/>
      <c r="D1" s="2"/>
      <c r="E1" s="2"/>
      <c r="F1" s="2"/>
      <c r="G1" s="2"/>
      <c r="H1" s="2"/>
      <c r="I1" s="2"/>
      <c r="J1" s="2"/>
      <c r="K1" s="2"/>
      <c r="L1" s="2"/>
      <c r="M1" s="2"/>
      <c r="N1" s="2"/>
    </row>
    <row r="2" customFormat="false" ht="30" hidden="false" customHeight="true" outlineLevel="0" collapsed="false">
      <c r="A2" s="3" t="s">
        <v>467</v>
      </c>
      <c r="B2" s="3"/>
      <c r="C2" s="3"/>
      <c r="D2" s="3"/>
      <c r="E2" s="3"/>
      <c r="F2" s="3"/>
      <c r="G2" s="3"/>
      <c r="H2" s="3"/>
      <c r="I2" s="3"/>
      <c r="J2" s="3"/>
      <c r="K2" s="3"/>
      <c r="L2" s="3"/>
      <c r="M2" s="2"/>
      <c r="N2" s="2"/>
    </row>
    <row r="3" customFormat="false" ht="30" hidden="false" customHeight="true" outlineLevel="0" collapsed="false">
      <c r="A3" s="4" t="s">
        <v>468</v>
      </c>
      <c r="B3" s="4"/>
      <c r="C3" s="4"/>
      <c r="D3" s="4"/>
      <c r="E3" s="4"/>
      <c r="F3" s="4"/>
      <c r="G3" s="4"/>
      <c r="H3" s="4"/>
      <c r="I3" s="4"/>
      <c r="J3" s="4"/>
      <c r="K3" s="4"/>
      <c r="L3" s="4"/>
      <c r="M3" s="2"/>
      <c r="N3" s="2"/>
    </row>
    <row r="4" customFormat="false" ht="30" hidden="false" customHeight="true" outlineLevel="0" collapsed="false">
      <c r="A4" s="4" t="s">
        <v>469</v>
      </c>
      <c r="B4" s="4"/>
      <c r="C4" s="4"/>
      <c r="D4" s="4"/>
      <c r="E4" s="4"/>
      <c r="F4" s="4"/>
      <c r="G4" s="4"/>
      <c r="H4" s="4"/>
      <c r="I4" s="4"/>
      <c r="J4" s="4"/>
      <c r="K4" s="4"/>
      <c r="L4" s="4"/>
      <c r="M4" s="2"/>
      <c r="N4" s="2"/>
    </row>
    <row r="5" customFormat="false" ht="15" hidden="false" customHeight="true" outlineLevel="0" collapsed="false">
      <c r="A5" s="2"/>
      <c r="B5" s="2"/>
      <c r="C5" s="2"/>
      <c r="D5" s="2"/>
      <c r="E5" s="2"/>
      <c r="F5" s="2"/>
      <c r="G5" s="2"/>
      <c r="H5" s="2"/>
      <c r="I5" s="2"/>
      <c r="J5" s="2"/>
      <c r="K5" s="2"/>
      <c r="L5" s="2"/>
      <c r="M5" s="2"/>
      <c r="N5" s="2"/>
    </row>
    <row r="6" customFormat="false" ht="15" hidden="false" customHeight="true" outlineLevel="0" collapsed="false">
      <c r="A6" s="2"/>
      <c r="B6" s="2"/>
      <c r="C6" s="2"/>
      <c r="D6" s="2"/>
      <c r="E6" s="2"/>
      <c r="F6" s="2"/>
      <c r="G6" s="2"/>
      <c r="H6" s="2"/>
      <c r="I6" s="2"/>
      <c r="J6" s="2"/>
      <c r="K6" s="2"/>
      <c r="L6" s="2"/>
      <c r="M6" s="2"/>
      <c r="N6" s="2"/>
    </row>
    <row r="7" customFormat="false" ht="33.75" hidden="false" customHeight="true" outlineLevel="0" collapsed="false">
      <c r="A7" s="11" t="s">
        <v>35</v>
      </c>
      <c r="B7" s="11" t="s">
        <v>11</v>
      </c>
      <c r="C7" s="11" t="s">
        <v>36</v>
      </c>
      <c r="D7" s="11" t="s">
        <v>470</v>
      </c>
      <c r="E7" s="11" t="s">
        <v>471</v>
      </c>
      <c r="F7" s="11" t="s">
        <v>472</v>
      </c>
      <c r="G7" s="11" t="s">
        <v>473</v>
      </c>
      <c r="H7" s="11" t="s">
        <v>474</v>
      </c>
      <c r="I7" s="11" t="s">
        <v>475</v>
      </c>
      <c r="J7" s="11" t="s">
        <v>476</v>
      </c>
      <c r="K7" s="11" t="s">
        <v>477</v>
      </c>
      <c r="L7" s="11" t="s">
        <v>478</v>
      </c>
      <c r="M7" s="11" t="s">
        <v>111</v>
      </c>
      <c r="N7" s="11" t="s">
        <v>479</v>
      </c>
    </row>
    <row r="8" customFormat="false" ht="79.5" hidden="false" customHeight="true" outlineLevel="0" collapsed="false">
      <c r="A8" s="12" t="s">
        <v>116</v>
      </c>
      <c r="B8" s="12" t="s">
        <v>18</v>
      </c>
      <c r="C8" s="12" t="str">
        <f aca="false">INDEX(Questionnaire!$R$8:$R$119,MATCH(A8,Questionnaire!$A$8:$A$119,0))</f>
        <v>P2</v>
      </c>
      <c r="D8" s="12" t="str">
        <f aca="false">IF(C8="Hors périmètre","Contrôle exclu du parcours actif.",IF(C8="Maintenir","Conserver la preuve et programmer une nouvelle vérification.",IF(OR(INDEX(Questionnaire!$T$8:$T$119,MATCH(A8,Questionnaire!$A$8:$A$119,0))=0,INDEX(Questionnaire!$V$8:$V$119,MATCH(A8,Questionnaire!$A$8:$A$119,0))=1),"Vérifier la situation avec le référent ou le prestataire. Puis : ","")&amp;INDEX(Repères!$D$26:$D$137,MATCH(A8,Repères!$A$26:$A$137,0))))</f>
        <v>Vérifier la situation avec le référent ou le prestataire. Puis : Désigner un référent et prévoir qui le remplace pendant ses absences.</v>
      </c>
      <c r="E8" s="12" t="s">
        <v>480</v>
      </c>
      <c r="F8" s="22"/>
      <c r="G8" s="23"/>
      <c r="H8" s="22" t="s">
        <v>481</v>
      </c>
      <c r="I8" s="22"/>
      <c r="J8" s="23"/>
      <c r="K8" s="25"/>
      <c r="L8" s="12" t="str">
        <f aca="true">IF(H8="Terminé",IF(OR(F8="",I8="",J8=""),"Clôture à documenter",IF(OR(C8="Maintenir",C8="Hors périmètre"),"Clôturé","Réévaluer le contrôle")),IF(C8="Hors périmètre","Hors périmètre",IF(C8="Maintenir","Maintenir",IF(F8="","Responsable à nommer",IF(G8="","Échéance à fixer",IF(G8&lt;TODAY(),"En retard",H8))))))</f>
        <v>Responsable à nommer</v>
      </c>
      <c r="M8" s="12" t="n">
        <f aca="false">INDEX(Questionnaire!$S$8:$S$119,MATCH(A8,Questionnaire!$A$8:$A$119,0))</f>
        <v>18</v>
      </c>
      <c r="N8" s="26" t="str">
        <f aca="false">IF(OR(Entreprise!$C$11="",C8="Maintenir",C8="Hors périmètre"),"",Entreprise!$C$11+INDEX(Barèmes!$G$7:$G$10,VALUE(RIGHT(C8,1))))</f>
        <v/>
      </c>
    </row>
    <row r="9" customFormat="false" ht="79.5" hidden="false" customHeight="true" outlineLevel="0" collapsed="false">
      <c r="A9" s="12" t="s">
        <v>121</v>
      </c>
      <c r="B9" s="12" t="s">
        <v>18</v>
      </c>
      <c r="C9" s="12" t="str">
        <f aca="false">INDEX(Questionnaire!$R$8:$R$119,MATCH(A9,Questionnaire!$A$8:$A$119,0))</f>
        <v>P2</v>
      </c>
      <c r="D9" s="12" t="str">
        <f aca="false">IF(C9="Hors périmètre","Contrôle exclu du parcours actif.",IF(C9="Maintenir","Conserver la preuve et programmer une nouvelle vérification.",IF(OR(INDEX(Questionnaire!$T$8:$T$119,MATCH(A9,Questionnaire!$A$8:$A$119,0))=0,INDEX(Questionnaire!$V$8:$V$119,MATCH(A9,Questionnaire!$A$8:$A$119,0))=1),"Vérifier la situation avec le référent ou le prestataire. Puis : ","")&amp;INDEX(Repères!$D$26:$D$137,MATCH(A9,Repères!$A$26:$A$137,0))))</f>
        <v>Vérifier la situation avec le référent ou le prestataire. Puis : Identifier trois activités vitales et leurs outils indispensables.</v>
      </c>
      <c r="E9" s="12" t="s">
        <v>480</v>
      </c>
      <c r="F9" s="22"/>
      <c r="G9" s="23"/>
      <c r="H9" s="22" t="s">
        <v>481</v>
      </c>
      <c r="I9" s="22"/>
      <c r="J9" s="23"/>
      <c r="K9" s="25"/>
      <c r="L9" s="12" t="str">
        <f aca="true">IF(H9="Terminé",IF(OR(F9="",I9="",J9=""),"Clôture à documenter",IF(OR(C9="Maintenir",C9="Hors périmètre"),"Clôturé","Réévaluer le contrôle")),IF(C9="Hors périmètre","Hors périmètre",IF(C9="Maintenir","Maintenir",IF(F9="","Responsable à nommer",IF(G9="","Échéance à fixer",IF(G9&lt;TODAY(),"En retard",H9))))))</f>
        <v>Responsable à nommer</v>
      </c>
      <c r="M9" s="12" t="n">
        <f aca="false">INDEX(Questionnaire!$S$8:$S$119,MATCH(A9,Questionnaire!$A$8:$A$119,0))</f>
        <v>19</v>
      </c>
      <c r="N9" s="26" t="str">
        <f aca="false">IF(OR(Entreprise!$C$11="",C9="Maintenir",C9="Hors périmètre"),"",Entreprise!$C$11+INDEX(Barèmes!$G$7:$G$10,VALUE(RIGHT(C9,1))))</f>
        <v/>
      </c>
    </row>
    <row r="10" customFormat="false" ht="79.5" hidden="false" customHeight="true" outlineLevel="0" collapsed="false">
      <c r="A10" s="12" t="s">
        <v>124</v>
      </c>
      <c r="B10" s="12" t="s">
        <v>18</v>
      </c>
      <c r="C10" s="12" t="str">
        <f aca="false">INDEX(Questionnaire!$R$8:$R$119,MATCH(A10,Questionnaire!$A$8:$A$119,0))</f>
        <v>P3</v>
      </c>
      <c r="D10" s="12" t="str">
        <f aca="false">IF(C10="Hors périmètre","Contrôle exclu du parcours actif.",IF(C10="Maintenir","Conserver la preuve et programmer une nouvelle vérification.",IF(OR(INDEX(Questionnaire!$T$8:$T$119,MATCH(A10,Questionnaire!$A$8:$A$119,0))=0,INDEX(Questionnaire!$V$8:$V$119,MATCH(A10,Questionnaire!$A$8:$A$119,0))=1),"Vérifier la situation avec le référent ou le prestataire. Puis : ","")&amp;INDEX(Repères!$D$26:$D$137,MATCH(A10,Repères!$A$26:$A$137,0))))</f>
        <v>Vérifier la situation avec le référent ou le prestataire. Puis : Réunir dirigeant et prestataire pour qualifier les impacts et les mesures prioritaires.</v>
      </c>
      <c r="E10" s="12" t="s">
        <v>482</v>
      </c>
      <c r="F10" s="22"/>
      <c r="G10" s="23"/>
      <c r="H10" s="22" t="s">
        <v>481</v>
      </c>
      <c r="I10" s="22"/>
      <c r="J10" s="23"/>
      <c r="K10" s="25"/>
      <c r="L10" s="12" t="str">
        <f aca="true">IF(H10="Terminé",IF(OR(F10="",I10="",J10=""),"Clôture à documenter",IF(OR(C10="Maintenir",C10="Hors périmètre"),"Clôturé","Réévaluer le contrôle")),IF(C10="Hors périmètre","Hors périmètre",IF(C10="Maintenir","Maintenir",IF(F10="","Responsable à nommer",IF(G10="","Échéance à fixer",IF(G10&lt;TODAY(),"En retard",H10))))))</f>
        <v>Responsable à nommer</v>
      </c>
      <c r="M10" s="12" t="n">
        <f aca="false">INDEX(Questionnaire!$S$8:$S$119,MATCH(A10,Questionnaire!$A$8:$A$119,0))</f>
        <v>42</v>
      </c>
      <c r="N10" s="26" t="str">
        <f aca="false">IF(OR(Entreprise!$C$11="",C10="Maintenir",C10="Hors périmètre"),"",Entreprise!$C$11+INDEX(Barèmes!$G$7:$G$10,VALUE(RIGHT(C10,1))))</f>
        <v/>
      </c>
    </row>
    <row r="11" customFormat="false" ht="79.5" hidden="false" customHeight="true" outlineLevel="0" collapsed="false">
      <c r="A11" s="12" t="s">
        <v>127</v>
      </c>
      <c r="B11" s="12" t="s">
        <v>18</v>
      </c>
      <c r="C11" s="12" t="str">
        <f aca="false">INDEX(Questionnaire!$R$8:$R$119,MATCH(A11,Questionnaire!$A$8:$A$119,0))</f>
        <v>P3</v>
      </c>
      <c r="D11" s="12" t="str">
        <f aca="false">IF(C11="Hors périmètre","Contrôle exclu du parcours actif.",IF(C11="Maintenir","Conserver la preuve et programmer une nouvelle vérification.",IF(OR(INDEX(Questionnaire!$T$8:$T$119,MATCH(A11,Questionnaire!$A$8:$A$119,0))=0,INDEX(Questionnaire!$V$8:$V$119,MATCH(A11,Questionnaire!$A$8:$A$119,0))=1),"Vérifier la situation avec le référent ou le prestataire. Puis : ","")&amp;INDEX(Repères!$D$26:$D$137,MATCH(A11,Repères!$A$26:$A$137,0))))</f>
        <v>Vérifier la situation avec le référent ou le prestataire. Puis : Prévoir les moyens du plan d’action et arbitrer les dépenses prioritaires.</v>
      </c>
      <c r="E11" s="12" t="s">
        <v>480</v>
      </c>
      <c r="F11" s="22"/>
      <c r="G11" s="23"/>
      <c r="H11" s="22" t="s">
        <v>481</v>
      </c>
      <c r="I11" s="22"/>
      <c r="J11" s="23"/>
      <c r="K11" s="25"/>
      <c r="L11" s="12" t="str">
        <f aca="true">IF(H11="Terminé",IF(OR(F11="",I11="",J11=""),"Clôture à documenter",IF(OR(C11="Maintenir",C11="Hors périmètre"),"Clôturé","Réévaluer le contrôle")),IF(C11="Hors périmètre","Hors périmètre",IF(C11="Maintenir","Maintenir",IF(F11="","Responsable à nommer",IF(G11="","Échéance à fixer",IF(G11&lt;TODAY(),"En retard",H11))))))</f>
        <v>Responsable à nommer</v>
      </c>
      <c r="M11" s="12" t="n">
        <f aca="false">INDEX(Questionnaire!$S$8:$S$119,MATCH(A11,Questionnaire!$A$8:$A$119,0))</f>
        <v>43</v>
      </c>
      <c r="N11" s="26" t="str">
        <f aca="false">IF(OR(Entreprise!$C$11="",C11="Maintenir",C11="Hors périmètre"),"",Entreprise!$C$11+INDEX(Barèmes!$G$7:$G$10,VALUE(RIGHT(C11,1))))</f>
        <v/>
      </c>
    </row>
    <row r="12" customFormat="false" ht="79.5" hidden="false" customHeight="true" outlineLevel="0" collapsed="false">
      <c r="A12" s="12" t="s">
        <v>130</v>
      </c>
      <c r="B12" s="12" t="s">
        <v>18</v>
      </c>
      <c r="C12" s="12" t="str">
        <f aca="false">INDEX(Questionnaire!$R$8:$R$119,MATCH(A12,Questionnaire!$A$8:$A$119,0))</f>
        <v>P3</v>
      </c>
      <c r="D12" s="12" t="str">
        <f aca="false">IF(C12="Hors périmètre","Contrôle exclu du parcours actif.",IF(C12="Maintenir","Conserver la preuve et programmer une nouvelle vérification.",IF(OR(INDEX(Questionnaire!$T$8:$T$119,MATCH(A12,Questionnaire!$A$8:$A$119,0))=0,INDEX(Questionnaire!$V$8:$V$119,MATCH(A12,Questionnaire!$A$8:$A$119,0))=1),"Vérifier la situation avec le référent ou le prestataire. Puis : ","")&amp;INDEX(Repères!$D$26:$D$137,MATCH(A12,Repères!$A$26:$A$137,0))))</f>
        <v>Vérifier la situation avec le référent ou le prestataire. Puis : Choisir six actions, attribuer les rôles et prévoir une revue mensuelle.</v>
      </c>
      <c r="E12" s="12" t="s">
        <v>480</v>
      </c>
      <c r="F12" s="22"/>
      <c r="G12" s="23"/>
      <c r="H12" s="22" t="s">
        <v>481</v>
      </c>
      <c r="I12" s="22"/>
      <c r="J12" s="23"/>
      <c r="K12" s="25"/>
      <c r="L12" s="12" t="str">
        <f aca="true">IF(H12="Terminé",IF(OR(F12="",I12="",J12=""),"Clôture à documenter",IF(OR(C12="Maintenir",C12="Hors périmètre"),"Clôturé","Réévaluer le contrôle")),IF(C12="Hors périmètre","Hors périmètre",IF(C12="Maintenir","Maintenir",IF(F12="","Responsable à nommer",IF(G12="","Échéance à fixer",IF(G12&lt;TODAY(),"En retard",H12))))))</f>
        <v>Responsable à nommer</v>
      </c>
      <c r="M12" s="12" t="n">
        <f aca="false">INDEX(Questionnaire!$S$8:$S$119,MATCH(A12,Questionnaire!$A$8:$A$119,0))</f>
        <v>44</v>
      </c>
      <c r="N12" s="26" t="str">
        <f aca="false">IF(OR(Entreprise!$C$11="",C12="Maintenir",C12="Hors périmètre"),"",Entreprise!$C$11+INDEX(Barèmes!$G$7:$G$10,VALUE(RIGHT(C12,1))))</f>
        <v/>
      </c>
    </row>
    <row r="13" customFormat="false" ht="79.5" hidden="false" customHeight="true" outlineLevel="0" collapsed="false">
      <c r="A13" s="12" t="s">
        <v>133</v>
      </c>
      <c r="B13" s="12" t="s">
        <v>18</v>
      </c>
      <c r="C13" s="12" t="str">
        <f aca="false">INDEX(Questionnaire!$R$8:$R$119,MATCH(A13,Questionnaire!$A$8:$A$119,0))</f>
        <v>P3</v>
      </c>
      <c r="D13" s="12" t="str">
        <f aca="false">IF(C13="Hors périmètre","Contrôle exclu du parcours actif.",IF(C13="Maintenir","Conserver la preuve et programmer une nouvelle vérification.",IF(OR(INDEX(Questionnaire!$T$8:$T$119,MATCH(A13,Questionnaire!$A$8:$A$119,0))=0,INDEX(Questionnaire!$V$8:$V$119,MATCH(A13,Questionnaire!$A$8:$A$119,0))=1),"Vérifier la situation avec le référent ou le prestataire. Puis : ","")&amp;INDEX(Repères!$D$26:$D$137,MATCH(A13,Repères!$A$26:$A$137,0))))</f>
        <v>Vérifier la situation avec le référent ou le prestataire. Puis : Faire vérifier les obligations applicables, y compris les exigences clients. Ne pas déduire l’assujettissement de la seule taille.</v>
      </c>
      <c r="E13" s="12" t="s">
        <v>482</v>
      </c>
      <c r="F13" s="22"/>
      <c r="G13" s="23"/>
      <c r="H13" s="22" t="s">
        <v>481</v>
      </c>
      <c r="I13" s="22"/>
      <c r="J13" s="23"/>
      <c r="K13" s="25"/>
      <c r="L13" s="12" t="str">
        <f aca="true">IF(H13="Terminé",IF(OR(F13="",I13="",J13=""),"Clôture à documenter",IF(OR(C13="Maintenir",C13="Hors périmètre"),"Clôturé","Réévaluer le contrôle")),IF(C13="Hors périmètre","Hors périmètre",IF(C13="Maintenir","Maintenir",IF(F13="","Responsable à nommer",IF(G13="","Échéance à fixer",IF(G13&lt;TODAY(),"En retard",H13))))))</f>
        <v>Responsable à nommer</v>
      </c>
      <c r="M13" s="12" t="n">
        <f aca="false">INDEX(Questionnaire!$S$8:$S$119,MATCH(A13,Questionnaire!$A$8:$A$119,0))</f>
        <v>45</v>
      </c>
      <c r="N13" s="26" t="str">
        <f aca="false">IF(OR(Entreprise!$C$11="",C13="Maintenir",C13="Hors périmètre"),"",Entreprise!$C$11+INDEX(Barèmes!$G$7:$G$10,VALUE(RIGHT(C13,1))))</f>
        <v/>
      </c>
    </row>
    <row r="14" customFormat="false" ht="79.5" hidden="false" customHeight="true" outlineLevel="0" collapsed="false">
      <c r="A14" s="12" t="s">
        <v>136</v>
      </c>
      <c r="B14" s="12" t="s">
        <v>18</v>
      </c>
      <c r="C14" s="12" t="str">
        <f aca="false">INDEX(Questionnaire!$R$8:$R$119,MATCH(A14,Questionnaire!$A$8:$A$119,0))</f>
        <v>P4</v>
      </c>
      <c r="D14" s="12" t="str">
        <f aca="false">IF(C14="Hors périmètre","Contrôle exclu du parcours actif.",IF(C14="Maintenir","Conserver la preuve et programmer une nouvelle vérification.",IF(OR(INDEX(Questionnaire!$T$8:$T$119,MATCH(A14,Questionnaire!$A$8:$A$119,0))=0,INDEX(Questionnaire!$V$8:$V$119,MATCH(A14,Questionnaire!$A$8:$A$119,0))=1),"Vérifier la situation avec le référent ou le prestataire. Puis : ","")&amp;INDEX(Repères!$D$26:$D$137,MATCH(A14,Repères!$A$26:$A$137,0))))</f>
        <v>Vérifier la situation avec le référent ou le prestataire. Puis : Demander une analyse au courtier et consigner la décision. Acheter un contrat n’est pas obligatoire pour obtenir les points.</v>
      </c>
      <c r="E14" s="12" t="s">
        <v>480</v>
      </c>
      <c r="F14" s="22"/>
      <c r="G14" s="23"/>
      <c r="H14" s="22" t="s">
        <v>481</v>
      </c>
      <c r="I14" s="22"/>
      <c r="J14" s="23"/>
      <c r="K14" s="25"/>
      <c r="L14" s="12" t="str">
        <f aca="true">IF(H14="Terminé",IF(OR(F14="",I14="",J14=""),"Clôture à documenter",IF(OR(C14="Maintenir",C14="Hors périmètre"),"Clôturé","Réévaluer le contrôle")),IF(C14="Hors périmètre","Hors périmètre",IF(C14="Maintenir","Maintenir",IF(F14="","Responsable à nommer",IF(G14="","Échéance à fixer",IF(G14&lt;TODAY(),"En retard",H14))))))</f>
        <v>Responsable à nommer</v>
      </c>
      <c r="M14" s="12" t="n">
        <f aca="false">INDEX(Questionnaire!$S$8:$S$119,MATCH(A14,Questionnaire!$A$8:$A$119,0))</f>
        <v>104</v>
      </c>
      <c r="N14" s="26" t="str">
        <f aca="false">IF(OR(Entreprise!$C$11="",C14="Maintenir",C14="Hors périmètre"),"",Entreprise!$C$11+INDEX(Barèmes!$G$7:$G$10,VALUE(RIGHT(C14,1))))</f>
        <v/>
      </c>
    </row>
    <row r="15" customFormat="false" ht="79.5" hidden="false" customHeight="true" outlineLevel="0" collapsed="false">
      <c r="A15" s="12" t="s">
        <v>139</v>
      </c>
      <c r="B15" s="12" t="s">
        <v>18</v>
      </c>
      <c r="C15" s="12" t="str">
        <f aca="false">INDEX(Questionnaire!$R$8:$R$119,MATCH(A15,Questionnaire!$A$8:$A$119,0))</f>
        <v>P4</v>
      </c>
      <c r="D15" s="12" t="str">
        <f aca="false">IF(C15="Hors périmètre","Contrôle exclu du parcours actif.",IF(C15="Maintenir","Conserver la preuve et programmer une nouvelle vérification.",IF(OR(INDEX(Questionnaire!$T$8:$T$119,MATCH(A15,Questionnaire!$A$8:$A$119,0))=0,INDEX(Questionnaire!$V$8:$V$119,MATCH(A15,Questionnaire!$A$8:$A$119,0))=1),"Vérifier la situation avec le référent ou le prestataire. Puis : ","")&amp;INDEX(Repères!$D$26:$D$137,MATCH(A15,Repères!$A$26:$A$137,0))))</f>
        <v>Vérifier la situation avec le référent ou le prestataire. Puis : Ajouter une courte vérification cyber au choix des outils et prestataires.</v>
      </c>
      <c r="E15" s="12" t="s">
        <v>480</v>
      </c>
      <c r="F15" s="22"/>
      <c r="G15" s="23"/>
      <c r="H15" s="22" t="s">
        <v>481</v>
      </c>
      <c r="I15" s="22"/>
      <c r="J15" s="23"/>
      <c r="K15" s="25"/>
      <c r="L15" s="12" t="str">
        <f aca="true">IF(H15="Terminé",IF(OR(F15="",I15="",J15=""),"Clôture à documenter",IF(OR(C15="Maintenir",C15="Hors périmètre"),"Clôturé","Réévaluer le contrôle")),IF(C15="Hors périmètre","Hors périmètre",IF(C15="Maintenir","Maintenir",IF(F15="","Responsable à nommer",IF(G15="","Échéance à fixer",IF(G15&lt;TODAY(),"En retard",H15))))))</f>
        <v>Responsable à nommer</v>
      </c>
      <c r="M15" s="12" t="n">
        <f aca="false">INDEX(Questionnaire!$S$8:$S$119,MATCH(A15,Questionnaire!$A$8:$A$119,0))</f>
        <v>105</v>
      </c>
      <c r="N15" s="26" t="str">
        <f aca="false">IF(OR(Entreprise!$C$11="",C15="Maintenir",C15="Hors périmètre"),"",Entreprise!$C$11+INDEX(Barèmes!$G$7:$G$10,VALUE(RIGHT(C15,1))))</f>
        <v/>
      </c>
    </row>
    <row r="16" customFormat="false" ht="79.5" hidden="false" customHeight="true" outlineLevel="0" collapsed="false">
      <c r="A16" s="12" t="s">
        <v>142</v>
      </c>
      <c r="B16" s="12" t="s">
        <v>19</v>
      </c>
      <c r="C16" s="12" t="str">
        <f aca="false">INDEX(Questionnaire!$R$8:$R$119,MATCH(A16,Questionnaire!$A$8:$A$119,0))</f>
        <v>P2</v>
      </c>
      <c r="D16" s="12" t="str">
        <f aca="false">IF(C16="Hors périmètre","Contrôle exclu du parcours actif.",IF(C16="Maintenir","Conserver la preuve et programmer une nouvelle vérification.",IF(OR(INDEX(Questionnaire!$T$8:$T$119,MATCH(A16,Questionnaire!$A$8:$A$119,0))=0,INDEX(Questionnaire!$V$8:$V$119,MATCH(A16,Questionnaire!$A$8:$A$119,0))=1),"Vérifier la situation avec le référent ou le prestataire. Puis : ","")&amp;INDEX(Repères!$D$26:$D$137,MATCH(A16,Repères!$A$26:$A$137,0))))</f>
        <v>Vérifier la situation avec le référent ou le prestataire. Puis : Créer un inventaire simple et le revoir lors des arrivées, départs et achats.</v>
      </c>
      <c r="E16" s="12" t="s">
        <v>482</v>
      </c>
      <c r="F16" s="22"/>
      <c r="G16" s="23"/>
      <c r="H16" s="22" t="s">
        <v>481</v>
      </c>
      <c r="I16" s="22"/>
      <c r="J16" s="23"/>
      <c r="K16" s="25"/>
      <c r="L16" s="12" t="str">
        <f aca="true">IF(H16="Terminé",IF(OR(F16="",I16="",J16=""),"Clôture à documenter",IF(OR(C16="Maintenir",C16="Hors périmètre"),"Clôturé","Réévaluer le contrôle")),IF(C16="Hors périmètre","Hors périmètre",IF(C16="Maintenir","Maintenir",IF(F16="","Responsable à nommer",IF(G16="","Échéance à fixer",IF(G16&lt;TODAY(),"En retard",H16))))))</f>
        <v>Responsable à nommer</v>
      </c>
      <c r="M16" s="12" t="n">
        <f aca="false">INDEX(Questionnaire!$S$8:$S$119,MATCH(A16,Questionnaire!$A$8:$A$119,0))</f>
        <v>20</v>
      </c>
      <c r="N16" s="26" t="str">
        <f aca="false">IF(OR(Entreprise!$C$11="",C16="Maintenir",C16="Hors périmètre"),"",Entreprise!$C$11+INDEX(Barèmes!$G$7:$G$10,VALUE(RIGHT(C16,1))))</f>
        <v/>
      </c>
    </row>
    <row r="17" customFormat="false" ht="79.5" hidden="false" customHeight="true" outlineLevel="0" collapsed="false">
      <c r="A17" s="12" t="s">
        <v>145</v>
      </c>
      <c r="B17" s="12" t="s">
        <v>19</v>
      </c>
      <c r="C17" s="12" t="str">
        <f aca="false">INDEX(Questionnaire!$R$8:$R$119,MATCH(A17,Questionnaire!$A$8:$A$119,0))</f>
        <v>P2</v>
      </c>
      <c r="D17" s="12" t="str">
        <f aca="false">IF(C17="Hors périmètre","Contrôle exclu du parcours actif.",IF(C17="Maintenir","Conserver la preuve et programmer une nouvelle vérification.",IF(OR(INDEX(Questionnaire!$T$8:$T$119,MATCH(A17,Questionnaire!$A$8:$A$119,0))=0,INDEX(Questionnaire!$V$8:$V$119,MATCH(A17,Questionnaire!$A$8:$A$119,0))=1),"Vérifier la situation avec le référent ou le prestataire. Puis : ","")&amp;INDEX(Repères!$D$26:$D$137,MATCH(A17,Repères!$A$26:$A$137,0))))</f>
        <v>Vérifier la situation avec le référent ou le prestataire. Puis : Cartographier les données vitales et les services qui les hébergent.</v>
      </c>
      <c r="E17" s="12" t="s">
        <v>480</v>
      </c>
      <c r="F17" s="22"/>
      <c r="G17" s="23"/>
      <c r="H17" s="22" t="s">
        <v>481</v>
      </c>
      <c r="I17" s="22"/>
      <c r="J17" s="23"/>
      <c r="K17" s="25"/>
      <c r="L17" s="12" t="str">
        <f aca="true">IF(H17="Terminé",IF(OR(F17="",I17="",J17=""),"Clôture à documenter",IF(OR(C17="Maintenir",C17="Hors périmètre"),"Clôturé","Réévaluer le contrôle")),IF(C17="Hors périmètre","Hors périmètre",IF(C17="Maintenir","Maintenir",IF(F17="","Responsable à nommer",IF(G17="","Échéance à fixer",IF(G17&lt;TODAY(),"En retard",H17))))))</f>
        <v>Responsable à nommer</v>
      </c>
      <c r="M17" s="12" t="n">
        <f aca="false">INDEX(Questionnaire!$S$8:$S$119,MATCH(A17,Questionnaire!$A$8:$A$119,0))</f>
        <v>21</v>
      </c>
      <c r="N17" s="26" t="str">
        <f aca="false">IF(OR(Entreprise!$C$11="",C17="Maintenir",C17="Hors périmètre"),"",Entreprise!$C$11+INDEX(Barèmes!$G$7:$G$10,VALUE(RIGHT(C17,1))))</f>
        <v/>
      </c>
    </row>
    <row r="18" customFormat="false" ht="79.5" hidden="false" customHeight="true" outlineLevel="0" collapsed="false">
      <c r="A18" s="12" t="s">
        <v>148</v>
      </c>
      <c r="B18" s="12" t="s">
        <v>19</v>
      </c>
      <c r="C18" s="12" t="str">
        <f aca="false">INDEX(Questionnaire!$R$8:$R$119,MATCH(A18,Questionnaire!$A$8:$A$119,0))</f>
        <v>P3</v>
      </c>
      <c r="D18" s="12" t="str">
        <f aca="false">IF(C18="Hors périmètre","Contrôle exclu du parcours actif.",IF(C18="Maintenir","Conserver la preuve et programmer une nouvelle vérification.",IF(OR(INDEX(Questionnaire!$T$8:$T$119,MATCH(A18,Questionnaire!$A$8:$A$119,0))=0,INDEX(Questionnaire!$V$8:$V$119,MATCH(A18,Questionnaire!$A$8:$A$119,0))=1),"Vérifier la situation avec le référent ou le prestataire. Puis : ","")&amp;INDEX(Repères!$D$26:$D$137,MATCH(A18,Repères!$A$26:$A$137,0))))</f>
        <v>Vérifier la situation avec le référent ou le prestataire. Puis : Recenser aussi les outils souscrits directement par les métiers.</v>
      </c>
      <c r="E18" s="12" t="s">
        <v>480</v>
      </c>
      <c r="F18" s="22"/>
      <c r="G18" s="23"/>
      <c r="H18" s="22" t="s">
        <v>481</v>
      </c>
      <c r="I18" s="22"/>
      <c r="J18" s="23"/>
      <c r="K18" s="25"/>
      <c r="L18" s="12" t="str">
        <f aca="true">IF(H18="Terminé",IF(OR(F18="",I18="",J18=""),"Clôture à documenter",IF(OR(C18="Maintenir",C18="Hors périmètre"),"Clôturé","Réévaluer le contrôle")),IF(C18="Hors périmètre","Hors périmètre",IF(C18="Maintenir","Maintenir",IF(F18="","Responsable à nommer",IF(G18="","Échéance à fixer",IF(G18&lt;TODAY(),"En retard",H18))))))</f>
        <v>Responsable à nommer</v>
      </c>
      <c r="M18" s="12" t="n">
        <f aca="false">INDEX(Questionnaire!$S$8:$S$119,MATCH(A18,Questionnaire!$A$8:$A$119,0))</f>
        <v>46</v>
      </c>
      <c r="N18" s="26" t="str">
        <f aca="false">IF(OR(Entreprise!$C$11="",C18="Maintenir",C18="Hors périmètre"),"",Entreprise!$C$11+INDEX(Barèmes!$G$7:$G$10,VALUE(RIGHT(C18,1))))</f>
        <v/>
      </c>
    </row>
    <row r="19" customFormat="false" ht="79.5" hidden="false" customHeight="true" outlineLevel="0" collapsed="false">
      <c r="A19" s="12" t="s">
        <v>151</v>
      </c>
      <c r="B19" s="12" t="s">
        <v>19</v>
      </c>
      <c r="C19" s="12" t="str">
        <f aca="false">INDEX(Questionnaire!$R$8:$R$119,MATCH(A19,Questionnaire!$A$8:$A$119,0))</f>
        <v>P3</v>
      </c>
      <c r="D19" s="12" t="str">
        <f aca="false">IF(C19="Hors périmètre","Contrôle exclu du parcours actif.",IF(C19="Maintenir","Conserver la preuve et programmer une nouvelle vérification.",IF(OR(INDEX(Questionnaire!$T$8:$T$119,MATCH(A19,Questionnaire!$A$8:$A$119,0))=0,INDEX(Questionnaire!$V$8:$V$119,MATCH(A19,Questionnaire!$A$8:$A$119,0))=1),"Vérifier la situation avec le référent ou le prestataire. Puis : ","")&amp;INDEX(Repères!$D$26:$D$137,MATCH(A19,Repères!$A$26:$A$137,0))))</f>
        <v>Vérifier la situation avec le référent ou le prestataire. Puis : Repérer les équipements sans correctifs et planifier leur remplacement.</v>
      </c>
      <c r="E19" s="12" t="s">
        <v>482</v>
      </c>
      <c r="F19" s="22"/>
      <c r="G19" s="23"/>
      <c r="H19" s="22" t="s">
        <v>481</v>
      </c>
      <c r="I19" s="22"/>
      <c r="J19" s="23"/>
      <c r="K19" s="25"/>
      <c r="L19" s="12" t="str">
        <f aca="true">IF(H19="Terminé",IF(OR(F19="",I19="",J19=""),"Clôture à documenter",IF(OR(C19="Maintenir",C19="Hors périmètre"),"Clôturé","Réévaluer le contrôle")),IF(C19="Hors périmètre","Hors périmètre",IF(C19="Maintenir","Maintenir",IF(F19="","Responsable à nommer",IF(G19="","Échéance à fixer",IF(G19&lt;TODAY(),"En retard",H19))))))</f>
        <v>Responsable à nommer</v>
      </c>
      <c r="M19" s="12" t="n">
        <f aca="false">INDEX(Questionnaire!$S$8:$S$119,MATCH(A19,Questionnaire!$A$8:$A$119,0))</f>
        <v>47</v>
      </c>
      <c r="N19" s="26" t="str">
        <f aca="false">IF(OR(Entreprise!$C$11="",C19="Maintenir",C19="Hors périmètre"),"",Entreprise!$C$11+INDEX(Barèmes!$G$7:$G$10,VALUE(RIGHT(C19,1))))</f>
        <v/>
      </c>
    </row>
    <row r="20" customFormat="false" ht="79.5" hidden="false" customHeight="true" outlineLevel="0" collapsed="false">
      <c r="A20" s="12" t="s">
        <v>154</v>
      </c>
      <c r="B20" s="12" t="s">
        <v>19</v>
      </c>
      <c r="C20" s="12" t="str">
        <f aca="false">INDEX(Questionnaire!$R$8:$R$119,MATCH(A20,Questionnaire!$A$8:$A$119,0))</f>
        <v>P3</v>
      </c>
      <c r="D20" s="12" t="str">
        <f aca="false">IF(C20="Hors périmètre","Contrôle exclu du parcours actif.",IF(C20="Maintenir","Conserver la preuve et programmer une nouvelle vérification.",IF(OR(INDEX(Questionnaire!$T$8:$T$119,MATCH(A20,Questionnaire!$A$8:$A$119,0))=0,INDEX(Questionnaire!$V$8:$V$119,MATCH(A20,Questionnaire!$A$8:$A$119,0))=1),"Vérifier la situation avec le référent ou le prestataire. Puis : ","")&amp;INDEX(Repères!$D$26:$D$137,MATCH(A20,Repères!$A$26:$A$137,0))))</f>
        <v>Vérifier la situation avec le référent ou le prestataire. Puis : Rassembler contrats, contacts de secours et numéros de dossier.</v>
      </c>
      <c r="E20" s="12" t="s">
        <v>480</v>
      </c>
      <c r="F20" s="22"/>
      <c r="G20" s="23"/>
      <c r="H20" s="22" t="s">
        <v>481</v>
      </c>
      <c r="I20" s="22"/>
      <c r="J20" s="23"/>
      <c r="K20" s="25"/>
      <c r="L20" s="12" t="str">
        <f aca="true">IF(H20="Terminé",IF(OR(F20="",I20="",J20=""),"Clôture à documenter",IF(OR(C20="Maintenir",C20="Hors périmètre"),"Clôturé","Réévaluer le contrôle")),IF(C20="Hors périmètre","Hors périmètre",IF(C20="Maintenir","Maintenir",IF(F20="","Responsable à nommer",IF(G20="","Échéance à fixer",IF(G20&lt;TODAY(),"En retard",H20))))))</f>
        <v>Responsable à nommer</v>
      </c>
      <c r="M20" s="12" t="n">
        <f aca="false">INDEX(Questionnaire!$S$8:$S$119,MATCH(A20,Questionnaire!$A$8:$A$119,0))</f>
        <v>48</v>
      </c>
      <c r="N20" s="26" t="str">
        <f aca="false">IF(OR(Entreprise!$C$11="",C20="Maintenir",C20="Hors périmètre"),"",Entreprise!$C$11+INDEX(Barèmes!$G$7:$G$10,VALUE(RIGHT(C20,1))))</f>
        <v/>
      </c>
    </row>
    <row r="21" customFormat="false" ht="79.5" hidden="false" customHeight="true" outlineLevel="0" collapsed="false">
      <c r="A21" s="12" t="s">
        <v>158</v>
      </c>
      <c r="B21" s="12" t="s">
        <v>19</v>
      </c>
      <c r="C21" s="12" t="str">
        <f aca="false">INDEX(Questionnaire!$R$8:$R$119,MATCH(A21,Questionnaire!$A$8:$A$119,0))</f>
        <v>P3</v>
      </c>
      <c r="D21" s="12" t="str">
        <f aca="false">IF(C21="Hors périmètre","Contrôle exclu du parcours actif.",IF(C21="Maintenir","Conserver la preuve et programmer une nouvelle vérification.",IF(OR(INDEX(Questionnaire!$T$8:$T$119,MATCH(A21,Questionnaire!$A$8:$A$119,0))=0,INDEX(Questionnaire!$V$8:$V$119,MATCH(A21,Questionnaire!$A$8:$A$119,0))=1),"Vérifier la situation avec le référent ou le prestataire. Puis : ","")&amp;INDEX(Repères!$D$26:$D$137,MATCH(A21,Repères!$A$26:$A$137,0))))</f>
        <v>Vérifier la situation avec le référent ou le prestataire. Puis : Mettre le domaine au nom de l’entreprise et vérifier les renouvellements.</v>
      </c>
      <c r="E21" s="12" t="s">
        <v>480</v>
      </c>
      <c r="F21" s="22"/>
      <c r="G21" s="23"/>
      <c r="H21" s="22" t="s">
        <v>481</v>
      </c>
      <c r="I21" s="22"/>
      <c r="J21" s="23"/>
      <c r="K21" s="25"/>
      <c r="L21" s="12" t="str">
        <f aca="true">IF(H21="Terminé",IF(OR(F21="",I21="",J21=""),"Clôture à documenter",IF(OR(C21="Maintenir",C21="Hors périmètre"),"Clôturé","Réévaluer le contrôle")),IF(C21="Hors périmètre","Hors périmètre",IF(C21="Maintenir","Maintenir",IF(F21="","Responsable à nommer",IF(G21="","Échéance à fixer",IF(G21&lt;TODAY(),"En retard",H21))))))</f>
        <v>Responsable à nommer</v>
      </c>
      <c r="M21" s="12" t="n">
        <f aca="false">INDEX(Questionnaire!$S$8:$S$119,MATCH(A21,Questionnaire!$A$8:$A$119,0))</f>
        <v>49</v>
      </c>
      <c r="N21" s="26" t="str">
        <f aca="false">IF(OR(Entreprise!$C$11="",C21="Maintenir",C21="Hors périmètre"),"",Entreprise!$C$11+INDEX(Barèmes!$G$7:$G$10,VALUE(RIGHT(C21,1))))</f>
        <v/>
      </c>
    </row>
    <row r="22" customFormat="false" ht="79.5" hidden="false" customHeight="true" outlineLevel="0" collapsed="false">
      <c r="A22" s="12" t="s">
        <v>162</v>
      </c>
      <c r="B22" s="12" t="s">
        <v>19</v>
      </c>
      <c r="C22" s="12" t="str">
        <f aca="false">INDEX(Questionnaire!$R$8:$R$119,MATCH(A22,Questionnaire!$A$8:$A$119,0))</f>
        <v>P4</v>
      </c>
      <c r="D22" s="12" t="str">
        <f aca="false">IF(C22="Hors périmètre","Contrôle exclu du parcours actif.",IF(C22="Maintenir","Conserver la preuve et programmer une nouvelle vérification.",IF(OR(INDEX(Questionnaire!$T$8:$T$119,MATCH(A22,Questionnaire!$A$8:$A$119,0))=0,INDEX(Questionnaire!$V$8:$V$119,MATCH(A22,Questionnaire!$A$8:$A$119,0))=1),"Vérifier la situation avec le référent ou le prestataire. Puis : ","")&amp;INDEX(Repères!$D$26:$D$137,MATCH(A22,Repères!$A$26:$A$137,0))))</f>
        <v>Vérifier la situation avec le référent ou le prestataire. Puis : Prévoir une seconde personne habilitée et une solution de secours proportionnée.</v>
      </c>
      <c r="E22" s="12" t="s">
        <v>482</v>
      </c>
      <c r="F22" s="22"/>
      <c r="G22" s="23"/>
      <c r="H22" s="22" t="s">
        <v>481</v>
      </c>
      <c r="I22" s="22"/>
      <c r="J22" s="23"/>
      <c r="K22" s="25"/>
      <c r="L22" s="12" t="str">
        <f aca="true">IF(H22="Terminé",IF(OR(F22="",I22="",J22=""),"Clôture à documenter",IF(OR(C22="Maintenir",C22="Hors périmètre"),"Clôturé","Réévaluer le contrôle")),IF(C22="Hors périmètre","Hors périmètre",IF(C22="Maintenir","Maintenir",IF(F22="","Responsable à nommer",IF(G22="","Échéance à fixer",IF(G22&lt;TODAY(),"En retard",H22))))))</f>
        <v>Responsable à nommer</v>
      </c>
      <c r="M22" s="12" t="n">
        <f aca="false">INDEX(Questionnaire!$S$8:$S$119,MATCH(A22,Questionnaire!$A$8:$A$119,0))</f>
        <v>106</v>
      </c>
      <c r="N22" s="26" t="str">
        <f aca="false">IF(OR(Entreprise!$C$11="",C22="Maintenir",C22="Hors périmètre"),"",Entreprise!$C$11+INDEX(Barèmes!$G$7:$G$10,VALUE(RIGHT(C22,1))))</f>
        <v/>
      </c>
    </row>
    <row r="23" customFormat="false" ht="79.5" hidden="false" customHeight="true" outlineLevel="0" collapsed="false">
      <c r="A23" s="12" t="s">
        <v>165</v>
      </c>
      <c r="B23" s="12" t="s">
        <v>19</v>
      </c>
      <c r="C23" s="12" t="str">
        <f aca="false">INDEX(Questionnaire!$R$8:$R$119,MATCH(A23,Questionnaire!$A$8:$A$119,0))</f>
        <v>P3</v>
      </c>
      <c r="D23" s="12" t="str">
        <f aca="false">IF(C23="Hors périmètre","Contrôle exclu du parcours actif.",IF(C23="Maintenir","Conserver la preuve et programmer une nouvelle vérification.",IF(OR(INDEX(Questionnaire!$T$8:$T$119,MATCH(A23,Questionnaire!$A$8:$A$119,0))=0,INDEX(Questionnaire!$V$8:$V$119,MATCH(A23,Questionnaire!$A$8:$A$119,0))=1),"Vérifier la situation avec le référent ou le prestataire. Puis : ","")&amp;INDEX(Repères!$D$26:$D$137,MATCH(A23,Repères!$A$26:$A$137,0))))</f>
        <v>Vérifier la situation avec le référent ou le prestataire. Puis : Inventorier les équipements métier et préciser support, accès et criticité.</v>
      </c>
      <c r="E23" s="12" t="s">
        <v>482</v>
      </c>
      <c r="F23" s="22"/>
      <c r="G23" s="23"/>
      <c r="H23" s="22" t="s">
        <v>481</v>
      </c>
      <c r="I23" s="22"/>
      <c r="J23" s="23"/>
      <c r="K23" s="25"/>
      <c r="L23" s="12" t="str">
        <f aca="true">IF(H23="Terminé",IF(OR(F23="",I23="",J23=""),"Clôture à documenter",IF(OR(C23="Maintenir",C23="Hors périmètre"),"Clôturé","Réévaluer le contrôle")),IF(C23="Hors périmètre","Hors périmètre",IF(C23="Maintenir","Maintenir",IF(F23="","Responsable à nommer",IF(G23="","Échéance à fixer",IF(G23&lt;TODAY(),"En retard",H23))))))</f>
        <v>Responsable à nommer</v>
      </c>
      <c r="M23" s="12" t="n">
        <f aca="false">INDEX(Questionnaire!$S$8:$S$119,MATCH(A23,Questionnaire!$A$8:$A$119,0))</f>
        <v>50</v>
      </c>
      <c r="N23" s="26" t="str">
        <f aca="false">IF(OR(Entreprise!$C$11="",C23="Maintenir",C23="Hors périmètre"),"",Entreprise!$C$11+INDEX(Barèmes!$G$7:$G$10,VALUE(RIGHT(C23,1))))</f>
        <v/>
      </c>
    </row>
    <row r="24" customFormat="false" ht="79.5" hidden="false" customHeight="true" outlineLevel="0" collapsed="false">
      <c r="A24" s="12" t="s">
        <v>169</v>
      </c>
      <c r="B24" s="12" t="s">
        <v>20</v>
      </c>
      <c r="C24" s="12" t="str">
        <f aca="false">INDEX(Questionnaire!$R$8:$R$119,MATCH(A24,Questionnaire!$A$8:$A$119,0))</f>
        <v>P1</v>
      </c>
      <c r="D24" s="12" t="str">
        <f aca="false">IF(C24="Hors périmètre","Contrôle exclu du parcours actif.",IF(C24="Maintenir","Conserver la preuve et programmer une nouvelle vérification.",IF(OR(INDEX(Questionnaire!$T$8:$T$119,MATCH(A24,Questionnaire!$A$8:$A$119,0))=0,INDEX(Questionnaire!$V$8:$V$119,MATCH(A24,Questionnaire!$A$8:$A$119,0))=1),"Vérifier la situation avec le référent ou le prestataire. Puis : ","")&amp;INDEX(Repères!$D$26:$D$137,MATCH(A24,Repères!$A$26:$A$137,0))))</f>
        <v>Vérifier la situation avec le référent ou le prestataire. Puis : Activer un second facteur. Privilégier les méthodes résistantes au phishing quand disponibles.</v>
      </c>
      <c r="E24" s="12" t="s">
        <v>482</v>
      </c>
      <c r="F24" s="22"/>
      <c r="G24" s="23"/>
      <c r="H24" s="22" t="s">
        <v>481</v>
      </c>
      <c r="I24" s="22"/>
      <c r="J24" s="23"/>
      <c r="K24" s="25"/>
      <c r="L24" s="12" t="str">
        <f aca="true">IF(H24="Terminé",IF(OR(F24="",I24="",J24=""),"Clôture à documenter",IF(OR(C24="Maintenir",C24="Hors périmètre"),"Clôturé","Réévaluer le contrôle")),IF(C24="Hors périmètre","Hors périmètre",IF(C24="Maintenir","Maintenir",IF(F24="","Responsable à nommer",IF(G24="","Échéance à fixer",IF(G24&lt;TODAY(),"En retard",H24))))))</f>
        <v>Responsable à nommer</v>
      </c>
      <c r="M24" s="12" t="n">
        <f aca="false">INDEX(Questionnaire!$S$8:$S$119,MATCH(A24,Questionnaire!$A$8:$A$119,0))</f>
        <v>1</v>
      </c>
      <c r="N24" s="26" t="str">
        <f aca="false">IF(OR(Entreprise!$C$11="",C24="Maintenir",C24="Hors périmètre"),"",Entreprise!$C$11+INDEX(Barèmes!$G$7:$G$10,VALUE(RIGHT(C24,1))))</f>
        <v/>
      </c>
    </row>
    <row r="25" customFormat="false" ht="79.5" hidden="false" customHeight="true" outlineLevel="0" collapsed="false">
      <c r="A25" s="12" t="s">
        <v>172</v>
      </c>
      <c r="B25" s="12" t="s">
        <v>20</v>
      </c>
      <c r="C25" s="12" t="str">
        <f aca="false">INDEX(Questionnaire!$R$8:$R$119,MATCH(A25,Questionnaire!$A$8:$A$119,0))</f>
        <v>P1</v>
      </c>
      <c r="D25" s="12" t="str">
        <f aca="false">IF(C25="Hors périmètre","Contrôle exclu du parcours actif.",IF(C25="Maintenir","Conserver la preuve et programmer une nouvelle vérification.",IF(OR(INDEX(Questionnaire!$T$8:$T$119,MATCH(A25,Questionnaire!$A$8:$A$119,0))=0,INDEX(Questionnaire!$V$8:$V$119,MATCH(A25,Questionnaire!$A$8:$A$119,0))=1),"Vérifier la situation avec le référent ou le prestataire. Puis : ","")&amp;INDEX(Repères!$D$26:$D$137,MATCH(A25,Repères!$A$26:$A$137,0))))</f>
        <v>Vérifier la situation avec le référent ou le prestataire. Puis : Activer la double authentification et supprimer les anciens modes de connexion non protégés.</v>
      </c>
      <c r="E25" s="12" t="s">
        <v>482</v>
      </c>
      <c r="F25" s="22"/>
      <c r="G25" s="23"/>
      <c r="H25" s="22" t="s">
        <v>481</v>
      </c>
      <c r="I25" s="22"/>
      <c r="J25" s="23"/>
      <c r="K25" s="25"/>
      <c r="L25" s="12" t="str">
        <f aca="true">IF(H25="Terminé",IF(OR(F25="",I25="",J25=""),"Clôture à documenter",IF(OR(C25="Maintenir",C25="Hors périmètre"),"Clôturé","Réévaluer le contrôle")),IF(C25="Hors périmètre","Hors périmètre",IF(C25="Maintenir","Maintenir",IF(F25="","Responsable à nommer",IF(G25="","Échéance à fixer",IF(G25&lt;TODAY(),"En retard",H25))))))</f>
        <v>Responsable à nommer</v>
      </c>
      <c r="M25" s="12" t="n">
        <f aca="false">INDEX(Questionnaire!$S$8:$S$119,MATCH(A25,Questionnaire!$A$8:$A$119,0))</f>
        <v>2</v>
      </c>
      <c r="N25" s="26" t="str">
        <f aca="false">IF(OR(Entreprise!$C$11="",C25="Maintenir",C25="Hors périmètre"),"",Entreprise!$C$11+INDEX(Barèmes!$G$7:$G$10,VALUE(RIGHT(C25,1))))</f>
        <v/>
      </c>
    </row>
    <row r="26" customFormat="false" ht="79.5" hidden="false" customHeight="true" outlineLevel="0" collapsed="false">
      <c r="A26" s="12" t="s">
        <v>176</v>
      </c>
      <c r="B26" s="12" t="s">
        <v>20</v>
      </c>
      <c r="C26" s="12" t="str">
        <f aca="false">INDEX(Questionnaire!$R$8:$R$119,MATCH(A26,Questionnaire!$A$8:$A$119,0))</f>
        <v>P1</v>
      </c>
      <c r="D26" s="12" t="str">
        <f aca="false">IF(C26="Hors périmètre","Contrôle exclu du parcours actif.",IF(C26="Maintenir","Conserver la preuve et programmer une nouvelle vérification.",IF(OR(INDEX(Questionnaire!$T$8:$T$119,MATCH(A26,Questionnaire!$A$8:$A$119,0))=0,INDEX(Questionnaire!$V$8:$V$119,MATCH(A26,Questionnaire!$A$8:$A$119,0))=1),"Vérifier la situation avec le référent ou le prestataire. Puis : ","")&amp;INDEX(Repères!$D$26:$D$137,MATCH(A26,Repères!$A$26:$A$137,0))))</f>
        <v>Vérifier la situation avec le référent ou le prestataire. Puis : Protéger les comptes sensibles par plusieurs facteurs et documenter les rares exceptions.</v>
      </c>
      <c r="E26" s="12" t="s">
        <v>482</v>
      </c>
      <c r="F26" s="22"/>
      <c r="G26" s="23"/>
      <c r="H26" s="22" t="s">
        <v>481</v>
      </c>
      <c r="I26" s="22"/>
      <c r="J26" s="23"/>
      <c r="K26" s="25"/>
      <c r="L26" s="12" t="str">
        <f aca="true">IF(H26="Terminé",IF(OR(F26="",I26="",J26=""),"Clôture à documenter",IF(OR(C26="Maintenir",C26="Hors périmètre"),"Clôturé","Réévaluer le contrôle")),IF(C26="Hors périmètre","Hors périmètre",IF(C26="Maintenir","Maintenir",IF(F26="","Responsable à nommer",IF(G26="","Échéance à fixer",IF(G26&lt;TODAY(),"En retard",H26))))))</f>
        <v>Responsable à nommer</v>
      </c>
      <c r="M26" s="12" t="n">
        <f aca="false">INDEX(Questionnaire!$S$8:$S$119,MATCH(A26,Questionnaire!$A$8:$A$119,0))</f>
        <v>3</v>
      </c>
      <c r="N26" s="26" t="str">
        <f aca="false">IF(OR(Entreprise!$C$11="",C26="Maintenir",C26="Hors périmètre"),"",Entreprise!$C$11+INDEX(Barèmes!$G$7:$G$10,VALUE(RIGHT(C26,1))))</f>
        <v/>
      </c>
    </row>
    <row r="27" customFormat="false" ht="79.5" hidden="false" customHeight="true" outlineLevel="0" collapsed="false">
      <c r="A27" s="12" t="s">
        <v>179</v>
      </c>
      <c r="B27" s="12" t="s">
        <v>20</v>
      </c>
      <c r="C27" s="12" t="str">
        <f aca="false">INDEX(Questionnaire!$R$8:$R$119,MATCH(A27,Questionnaire!$A$8:$A$119,0))</f>
        <v>P2</v>
      </c>
      <c r="D27" s="12" t="str">
        <f aca="false">IF(C27="Hors périmètre","Contrôle exclu du parcours actif.",IF(C27="Maintenir","Conserver la preuve et programmer une nouvelle vérification.",IF(OR(INDEX(Questionnaire!$T$8:$T$119,MATCH(A27,Questionnaire!$A$8:$A$119,0))=0,INDEX(Questionnaire!$V$8:$V$119,MATCH(A27,Questionnaire!$A$8:$A$119,0))=1),"Vérifier la situation avec le référent ou le prestataire. Puis : ","")&amp;INDEX(Repères!$D$26:$D$137,MATCH(A27,Repères!$A$26:$A$137,0))))</f>
        <v>Vérifier la situation avec le référent ou le prestataire. Puis : Remplacer les mots de passe réutilisés et adapter leur robustesse aux recommandations actuelles.</v>
      </c>
      <c r="E27" s="12" t="s">
        <v>482</v>
      </c>
      <c r="F27" s="22"/>
      <c r="G27" s="23"/>
      <c r="H27" s="22" t="s">
        <v>481</v>
      </c>
      <c r="I27" s="22"/>
      <c r="J27" s="23"/>
      <c r="K27" s="25"/>
      <c r="L27" s="12" t="str">
        <f aca="true">IF(H27="Terminé",IF(OR(F27="",I27="",J27=""),"Clôture à documenter",IF(OR(C27="Maintenir",C27="Hors périmètre"),"Clôturé","Réévaluer le contrôle")),IF(C27="Hors périmètre","Hors périmètre",IF(C27="Maintenir","Maintenir",IF(F27="","Responsable à nommer",IF(G27="","Échéance à fixer",IF(G27&lt;TODAY(),"En retard",H27))))))</f>
        <v>Responsable à nommer</v>
      </c>
      <c r="M27" s="12" t="n">
        <f aca="false">INDEX(Questionnaire!$S$8:$S$119,MATCH(A27,Questionnaire!$A$8:$A$119,0))</f>
        <v>22</v>
      </c>
      <c r="N27" s="26" t="str">
        <f aca="false">IF(OR(Entreprise!$C$11="",C27="Maintenir",C27="Hors périmètre"),"",Entreprise!$C$11+INDEX(Barèmes!$G$7:$G$10,VALUE(RIGHT(C27,1))))</f>
        <v/>
      </c>
    </row>
    <row r="28" customFormat="false" ht="79.5" hidden="false" customHeight="true" outlineLevel="0" collapsed="false">
      <c r="A28" s="12" t="s">
        <v>182</v>
      </c>
      <c r="B28" s="12" t="s">
        <v>20</v>
      </c>
      <c r="C28" s="12" t="str">
        <f aca="false">INDEX(Questionnaire!$R$8:$R$119,MATCH(A28,Questionnaire!$A$8:$A$119,0))</f>
        <v>P3</v>
      </c>
      <c r="D28" s="12" t="str">
        <f aca="false">IF(C28="Hors périmètre","Contrôle exclu du parcours actif.",IF(C28="Maintenir","Conserver la preuve et programmer une nouvelle vérification.",IF(OR(INDEX(Questionnaire!$T$8:$T$119,MATCH(A28,Questionnaire!$A$8:$A$119,0))=0,INDEX(Questionnaire!$V$8:$V$119,MATCH(A28,Questionnaire!$A$8:$A$119,0))=1),"Vérifier la situation avec le référent ou le prestataire. Puis : ","")&amp;INDEX(Repères!$D$26:$D$137,MATCH(A28,Repères!$A$26:$A$137,0))))</f>
        <v>Vérifier la situation avec le référent ou le prestataire. Puis : Déployer un coffre adapté et former à son utilisation sans partage en clair.</v>
      </c>
      <c r="E28" s="12" t="s">
        <v>482</v>
      </c>
      <c r="F28" s="22"/>
      <c r="G28" s="23"/>
      <c r="H28" s="22" t="s">
        <v>481</v>
      </c>
      <c r="I28" s="22"/>
      <c r="J28" s="23"/>
      <c r="K28" s="25"/>
      <c r="L28" s="12" t="str">
        <f aca="true">IF(H28="Terminé",IF(OR(F28="",I28="",J28=""),"Clôture à documenter",IF(OR(C28="Maintenir",C28="Hors périmètre"),"Clôturé","Réévaluer le contrôle")),IF(C28="Hors périmètre","Hors périmètre",IF(C28="Maintenir","Maintenir",IF(F28="","Responsable à nommer",IF(G28="","Échéance à fixer",IF(G28&lt;TODAY(),"En retard",H28))))))</f>
        <v>Responsable à nommer</v>
      </c>
      <c r="M28" s="12" t="n">
        <f aca="false">INDEX(Questionnaire!$S$8:$S$119,MATCH(A28,Questionnaire!$A$8:$A$119,0))</f>
        <v>51</v>
      </c>
      <c r="N28" s="26" t="str">
        <f aca="false">IF(OR(Entreprise!$C$11="",C28="Maintenir",C28="Hors périmètre"),"",Entreprise!$C$11+INDEX(Barèmes!$G$7:$G$10,VALUE(RIGHT(C28,1))))</f>
        <v/>
      </c>
    </row>
    <row r="29" customFormat="false" ht="79.5" hidden="false" customHeight="true" outlineLevel="0" collapsed="false">
      <c r="A29" s="12" t="s">
        <v>185</v>
      </c>
      <c r="B29" s="12" t="s">
        <v>20</v>
      </c>
      <c r="C29" s="12" t="str">
        <f aca="false">INDEX(Questionnaire!$R$8:$R$119,MATCH(A29,Questionnaire!$A$8:$A$119,0))</f>
        <v>P3</v>
      </c>
      <c r="D29" s="12" t="str">
        <f aca="false">IF(C29="Hors périmètre","Contrôle exclu du parcours actif.",IF(C29="Maintenir","Conserver la preuve et programmer une nouvelle vérification.",IF(OR(INDEX(Questionnaire!$T$8:$T$119,MATCH(A29,Questionnaire!$A$8:$A$119,0))=0,INDEX(Questionnaire!$V$8:$V$119,MATCH(A29,Questionnaire!$A$8:$A$119,0))=1),"Vérifier la situation avec le référent ou le prestataire. Puis : ","")&amp;INDEX(Repères!$D$26:$D$137,MATCH(A29,Repères!$A$26:$A$137,0))))</f>
        <v>Vérifier la situation avec le référent ou le prestataire. Puis : Vérifier la récupération sans dépendre d’un salarié parti ou d’un seul téléphone.</v>
      </c>
      <c r="E29" s="12" t="s">
        <v>480</v>
      </c>
      <c r="F29" s="22"/>
      <c r="G29" s="23"/>
      <c r="H29" s="22" t="s">
        <v>481</v>
      </c>
      <c r="I29" s="22"/>
      <c r="J29" s="23"/>
      <c r="K29" s="25"/>
      <c r="L29" s="12" t="str">
        <f aca="true">IF(H29="Terminé",IF(OR(F29="",I29="",J29=""),"Clôture à documenter",IF(OR(C29="Maintenir",C29="Hors périmètre"),"Clôturé","Réévaluer le contrôle")),IF(C29="Hors périmètre","Hors périmètre",IF(C29="Maintenir","Maintenir",IF(F29="","Responsable à nommer",IF(G29="","Échéance à fixer",IF(G29&lt;TODAY(),"En retard",H29))))))</f>
        <v>Responsable à nommer</v>
      </c>
      <c r="M29" s="12" t="n">
        <f aca="false">INDEX(Questionnaire!$S$8:$S$119,MATCH(A29,Questionnaire!$A$8:$A$119,0))</f>
        <v>52</v>
      </c>
      <c r="N29" s="26" t="str">
        <f aca="false">IF(OR(Entreprise!$C$11="",C29="Maintenir",C29="Hors périmètre"),"",Entreprise!$C$11+INDEX(Barèmes!$G$7:$G$10,VALUE(RIGHT(C29,1))))</f>
        <v/>
      </c>
    </row>
    <row r="30" customFormat="false" ht="79.5" hidden="false" customHeight="true" outlineLevel="0" collapsed="false">
      <c r="A30" s="12" t="s">
        <v>188</v>
      </c>
      <c r="B30" s="12" t="s">
        <v>20</v>
      </c>
      <c r="C30" s="12" t="str">
        <f aca="false">INDEX(Questionnaire!$R$8:$R$119,MATCH(A30,Questionnaire!$A$8:$A$119,0))</f>
        <v>P3</v>
      </c>
      <c r="D30" s="12" t="str">
        <f aca="false">IF(C30="Hors périmètre","Contrôle exclu du parcours actif.",IF(C30="Maintenir","Conserver la preuve et programmer une nouvelle vérification.",IF(OR(INDEX(Questionnaire!$T$8:$T$119,MATCH(A30,Questionnaire!$A$8:$A$119,0))=0,INDEX(Questionnaire!$V$8:$V$119,MATCH(A30,Questionnaire!$A$8:$A$119,0))=1),"Vérifier la situation avec le référent ou le prestataire. Puis : ","")&amp;INDEX(Repères!$D$26:$D$137,MATCH(A30,Repères!$A$26:$A$137,0))))</f>
        <v>Vérifier la situation avec le référent ou le prestataire. Puis : Modifier les accès d’usine et supprimer les comptes inutiles.</v>
      </c>
      <c r="E30" s="12" t="s">
        <v>480</v>
      </c>
      <c r="F30" s="22"/>
      <c r="G30" s="23"/>
      <c r="H30" s="22" t="s">
        <v>481</v>
      </c>
      <c r="I30" s="22"/>
      <c r="J30" s="23"/>
      <c r="K30" s="25"/>
      <c r="L30" s="12" t="str">
        <f aca="true">IF(H30="Terminé",IF(OR(F30="",I30="",J30=""),"Clôture à documenter",IF(OR(C30="Maintenir",C30="Hors périmètre"),"Clôturé","Réévaluer le contrôle")),IF(C30="Hors périmètre","Hors périmètre",IF(C30="Maintenir","Maintenir",IF(F30="","Responsable à nommer",IF(G30="","Échéance à fixer",IF(G30&lt;TODAY(),"En retard",H30))))))</f>
        <v>Responsable à nommer</v>
      </c>
      <c r="M30" s="12" t="n">
        <f aca="false">INDEX(Questionnaire!$S$8:$S$119,MATCH(A30,Questionnaire!$A$8:$A$119,0))</f>
        <v>53</v>
      </c>
      <c r="N30" s="26" t="str">
        <f aca="false">IF(OR(Entreprise!$C$11="",C30="Maintenir",C30="Hors périmètre"),"",Entreprise!$C$11+INDEX(Barèmes!$G$7:$G$10,VALUE(RIGHT(C30,1))))</f>
        <v/>
      </c>
    </row>
    <row r="31" customFormat="false" ht="79.5" hidden="false" customHeight="true" outlineLevel="0" collapsed="false">
      <c r="A31" s="12" t="s">
        <v>191</v>
      </c>
      <c r="B31" s="12" t="s">
        <v>20</v>
      </c>
      <c r="C31" s="12" t="str">
        <f aca="false">INDEX(Questionnaire!$R$8:$R$119,MATCH(A31,Questionnaire!$A$8:$A$119,0))</f>
        <v>P3</v>
      </c>
      <c r="D31" s="12" t="str">
        <f aca="false">IF(C31="Hors périmètre","Contrôle exclu du parcours actif.",IF(C31="Maintenir","Conserver la preuve et programmer une nouvelle vérification.",IF(OR(INDEX(Questionnaire!$T$8:$T$119,MATCH(A31,Questionnaire!$A$8:$A$119,0))=0,INDEX(Questionnaire!$V$8:$V$119,MATCH(A31,Questionnaire!$A$8:$A$119,0))=1),"Vérifier la situation avec le référent ou le prestataire. Puis : ","")&amp;INDEX(Repères!$D$26:$D$137,MATCH(A31,Repères!$A$26:$A$137,0))))</f>
        <v>Vérifier la situation avec le référent ou le prestataire. Puis : Prévoir la révocation des sessions, des jetons et des accès compromis depuis un appareil sain.</v>
      </c>
      <c r="E31" s="12" t="s">
        <v>480</v>
      </c>
      <c r="F31" s="22"/>
      <c r="G31" s="23"/>
      <c r="H31" s="22" t="s">
        <v>481</v>
      </c>
      <c r="I31" s="22"/>
      <c r="J31" s="23"/>
      <c r="K31" s="25"/>
      <c r="L31" s="12" t="str">
        <f aca="true">IF(H31="Terminé",IF(OR(F31="",I31="",J31=""),"Clôture à documenter",IF(OR(C31="Maintenir",C31="Hors périmètre"),"Clôturé","Réévaluer le contrôle")),IF(C31="Hors périmètre","Hors périmètre",IF(C31="Maintenir","Maintenir",IF(F31="","Responsable à nommer",IF(G31="","Échéance à fixer",IF(G31&lt;TODAY(),"En retard",H31))))))</f>
        <v>Responsable à nommer</v>
      </c>
      <c r="M31" s="12" t="n">
        <f aca="false">INDEX(Questionnaire!$S$8:$S$119,MATCH(A31,Questionnaire!$A$8:$A$119,0))</f>
        <v>54</v>
      </c>
      <c r="N31" s="26" t="str">
        <f aca="false">IF(OR(Entreprise!$C$11="",C31="Maintenir",C31="Hors périmètre"),"",Entreprise!$C$11+INDEX(Barèmes!$G$7:$G$10,VALUE(RIGHT(C31,1))))</f>
        <v/>
      </c>
    </row>
    <row r="32" customFormat="false" ht="79.5" hidden="false" customHeight="true" outlineLevel="0" collapsed="false">
      <c r="A32" s="12" t="s">
        <v>194</v>
      </c>
      <c r="B32" s="12" t="s">
        <v>21</v>
      </c>
      <c r="C32" s="12" t="str">
        <f aca="false">INDEX(Questionnaire!$R$8:$R$119,MATCH(A32,Questionnaire!$A$8:$A$119,0))</f>
        <v>P2</v>
      </c>
      <c r="D32" s="12" t="str">
        <f aca="false">IF(C32="Hors périmètre","Contrôle exclu du parcours actif.",IF(C32="Maintenir","Conserver la preuve et programmer une nouvelle vérification.",IF(OR(INDEX(Questionnaire!$T$8:$T$119,MATCH(A32,Questionnaire!$A$8:$A$119,0))=0,INDEX(Questionnaire!$V$8:$V$119,MATCH(A32,Questionnaire!$A$8:$A$119,0))=1),"Vérifier la situation avec le référent ou le prestataire. Puis : ","")&amp;INDEX(Repères!$D$26:$D$137,MATCH(A32,Repères!$A$26:$A$137,0))))</f>
        <v>Vérifier la situation avec le référent ou le prestataire. Puis : Créer des comptes individuels et limiter les comptes partagés résiduels.</v>
      </c>
      <c r="E32" s="12" t="s">
        <v>482</v>
      </c>
      <c r="F32" s="22"/>
      <c r="G32" s="23"/>
      <c r="H32" s="22" t="s">
        <v>481</v>
      </c>
      <c r="I32" s="22"/>
      <c r="J32" s="23"/>
      <c r="K32" s="25"/>
      <c r="L32" s="12" t="str">
        <f aca="true">IF(H32="Terminé",IF(OR(F32="",I32="",J32=""),"Clôture à documenter",IF(OR(C32="Maintenir",C32="Hors périmètre"),"Clôturé","Réévaluer le contrôle")),IF(C32="Hors périmètre","Hors périmètre",IF(C32="Maintenir","Maintenir",IF(F32="","Responsable à nommer",IF(G32="","Échéance à fixer",IF(G32&lt;TODAY(),"En retard",H32))))))</f>
        <v>Responsable à nommer</v>
      </c>
      <c r="M32" s="12" t="n">
        <f aca="false">INDEX(Questionnaire!$S$8:$S$119,MATCH(A32,Questionnaire!$A$8:$A$119,0))</f>
        <v>23</v>
      </c>
      <c r="N32" s="26" t="str">
        <f aca="false">IF(OR(Entreprise!$C$11="",C32="Maintenir",C32="Hors périmètre"),"",Entreprise!$C$11+INDEX(Barèmes!$G$7:$G$10,VALUE(RIGHT(C32,1))))</f>
        <v/>
      </c>
    </row>
    <row r="33" customFormat="false" ht="79.5" hidden="false" customHeight="true" outlineLevel="0" collapsed="false">
      <c r="A33" s="12" t="s">
        <v>198</v>
      </c>
      <c r="B33" s="12" t="s">
        <v>21</v>
      </c>
      <c r="C33" s="12" t="str">
        <f aca="false">INDEX(Questionnaire!$R$8:$R$119,MATCH(A33,Questionnaire!$A$8:$A$119,0))</f>
        <v>P1</v>
      </c>
      <c r="D33" s="12" t="str">
        <f aca="false">IF(C33="Hors périmètre","Contrôle exclu du parcours actif.",IF(C33="Maintenir","Conserver la preuve et programmer une nouvelle vérification.",IF(OR(INDEX(Questionnaire!$T$8:$T$119,MATCH(A33,Questionnaire!$A$8:$A$119,0))=0,INDEX(Questionnaire!$V$8:$V$119,MATCH(A33,Questionnaire!$A$8:$A$119,0))=1),"Vérifier la situation avec le référent ou le prestataire. Puis : ","")&amp;INDEX(Repères!$D$26:$D$137,MATCH(A33,Repères!$A$26:$A$137,0))))</f>
        <v>Vérifier la situation avec le référent ou le prestataire. Puis : Mettre en place une liste de sortie avec responsable et vérification le jour du départ.</v>
      </c>
      <c r="E33" s="12" t="s">
        <v>480</v>
      </c>
      <c r="F33" s="22"/>
      <c r="G33" s="23"/>
      <c r="H33" s="22" t="s">
        <v>481</v>
      </c>
      <c r="I33" s="22"/>
      <c r="J33" s="23"/>
      <c r="K33" s="25"/>
      <c r="L33" s="12" t="str">
        <f aca="true">IF(H33="Terminé",IF(OR(F33="",I33="",J33=""),"Clôture à documenter",IF(OR(C33="Maintenir",C33="Hors périmètre"),"Clôturé","Réévaluer le contrôle")),IF(C33="Hors périmètre","Hors périmètre",IF(C33="Maintenir","Maintenir",IF(F33="","Responsable à nommer",IF(G33="","Échéance à fixer",IF(G33&lt;TODAY(),"En retard",H33))))))</f>
        <v>Responsable à nommer</v>
      </c>
      <c r="M33" s="12" t="n">
        <f aca="false">INDEX(Questionnaire!$S$8:$S$119,MATCH(A33,Questionnaire!$A$8:$A$119,0))</f>
        <v>4</v>
      </c>
      <c r="N33" s="26" t="str">
        <f aca="false">IF(OR(Entreprise!$C$11="",C33="Maintenir",C33="Hors périmètre"),"",Entreprise!$C$11+INDEX(Barèmes!$G$7:$G$10,VALUE(RIGHT(C33,1))))</f>
        <v/>
      </c>
    </row>
    <row r="34" customFormat="false" ht="79.5" hidden="false" customHeight="true" outlineLevel="0" collapsed="false">
      <c r="A34" s="12" t="s">
        <v>201</v>
      </c>
      <c r="B34" s="12" t="s">
        <v>21</v>
      </c>
      <c r="C34" s="12" t="str">
        <f aca="false">INDEX(Questionnaire!$R$8:$R$119,MATCH(A34,Questionnaire!$A$8:$A$119,0))</f>
        <v>P1</v>
      </c>
      <c r="D34" s="12" t="str">
        <f aca="false">IF(C34="Hors périmètre","Contrôle exclu du parcours actif.",IF(C34="Maintenir","Conserver la preuve et programmer une nouvelle vérification.",IF(OR(INDEX(Questionnaire!$T$8:$T$119,MATCH(A34,Questionnaire!$A$8:$A$119,0))=0,INDEX(Questionnaire!$V$8:$V$119,MATCH(A34,Questionnaire!$A$8:$A$119,0))=1),"Vérifier la situation avec le référent ou le prestataire. Puis : ","")&amp;INDEX(Repères!$D$26:$D$137,MATCH(A34,Repères!$A$26:$A$137,0))))</f>
        <v>Vérifier la situation avec le référent ou le prestataire. Puis : Retirer les droits d’administration usuels et utiliser un compte dédié aux interventions.</v>
      </c>
      <c r="E34" s="12" t="s">
        <v>482</v>
      </c>
      <c r="F34" s="22"/>
      <c r="G34" s="23"/>
      <c r="H34" s="22" t="s">
        <v>481</v>
      </c>
      <c r="I34" s="22"/>
      <c r="J34" s="23"/>
      <c r="K34" s="25"/>
      <c r="L34" s="12" t="str">
        <f aca="true">IF(H34="Terminé",IF(OR(F34="",I34="",J34=""),"Clôture à documenter",IF(OR(C34="Maintenir",C34="Hors périmètre"),"Clôturé","Réévaluer le contrôle")),IF(C34="Hors périmètre","Hors périmètre",IF(C34="Maintenir","Maintenir",IF(F34="","Responsable à nommer",IF(G34="","Échéance à fixer",IF(G34&lt;TODAY(),"En retard",H34))))))</f>
        <v>Responsable à nommer</v>
      </c>
      <c r="M34" s="12" t="n">
        <f aca="false">INDEX(Questionnaire!$S$8:$S$119,MATCH(A34,Questionnaire!$A$8:$A$119,0))</f>
        <v>5</v>
      </c>
      <c r="N34" s="26" t="str">
        <f aca="false">IF(OR(Entreprise!$C$11="",C34="Maintenir",C34="Hors périmètre"),"",Entreprise!$C$11+INDEX(Barèmes!$G$7:$G$10,VALUE(RIGHT(C34,1))))</f>
        <v/>
      </c>
    </row>
    <row r="35" customFormat="false" ht="79.5" hidden="false" customHeight="true" outlineLevel="0" collapsed="false">
      <c r="A35" s="12" t="s">
        <v>204</v>
      </c>
      <c r="B35" s="12" t="s">
        <v>21</v>
      </c>
      <c r="C35" s="12" t="str">
        <f aca="false">INDEX(Questionnaire!$R$8:$R$119,MATCH(A35,Questionnaire!$A$8:$A$119,0))</f>
        <v>P3</v>
      </c>
      <c r="D35" s="12" t="str">
        <f aca="false">IF(C35="Hors périmètre","Contrôle exclu du parcours actif.",IF(C35="Maintenir","Conserver la preuve et programmer une nouvelle vérification.",IF(OR(INDEX(Questionnaire!$T$8:$T$119,MATCH(A35,Questionnaire!$A$8:$A$119,0))=0,INDEX(Questionnaire!$V$8:$V$119,MATCH(A35,Questionnaire!$A$8:$A$119,0))=1),"Vérifier la situation avec le référent ou le prestataire. Puis : ","")&amp;INDEX(Repères!$D$26:$D$137,MATCH(A35,Repères!$A$26:$A$137,0))))</f>
        <v>Vérifier la situation avec le référent ou le prestataire. Puis : Revoir les groupes et donner uniquement les accès nécessaires au travail.</v>
      </c>
      <c r="E35" s="12" t="s">
        <v>482</v>
      </c>
      <c r="F35" s="22"/>
      <c r="G35" s="23"/>
      <c r="H35" s="22" t="s">
        <v>481</v>
      </c>
      <c r="I35" s="22"/>
      <c r="J35" s="23"/>
      <c r="K35" s="25"/>
      <c r="L35" s="12" t="str">
        <f aca="true">IF(H35="Terminé",IF(OR(F35="",I35="",J35=""),"Clôture à documenter",IF(OR(C35="Maintenir",C35="Hors périmètre"),"Clôturé","Réévaluer le contrôle")),IF(C35="Hors périmètre","Hors périmètre",IF(C35="Maintenir","Maintenir",IF(F35="","Responsable à nommer",IF(G35="","Échéance à fixer",IF(G35&lt;TODAY(),"En retard",H35))))))</f>
        <v>Responsable à nommer</v>
      </c>
      <c r="M35" s="12" t="n">
        <f aca="false">INDEX(Questionnaire!$S$8:$S$119,MATCH(A35,Questionnaire!$A$8:$A$119,0))</f>
        <v>55</v>
      </c>
      <c r="N35" s="26" t="str">
        <f aca="false">IF(OR(Entreprise!$C$11="",C35="Maintenir",C35="Hors périmètre"),"",Entreprise!$C$11+INDEX(Barèmes!$G$7:$G$10,VALUE(RIGHT(C35,1))))</f>
        <v/>
      </c>
    </row>
    <row r="36" customFormat="false" ht="79.5" hidden="false" customHeight="true" outlineLevel="0" collapsed="false">
      <c r="A36" s="12" t="s">
        <v>207</v>
      </c>
      <c r="B36" s="12" t="s">
        <v>21</v>
      </c>
      <c r="C36" s="12" t="str">
        <f aca="false">INDEX(Questionnaire!$R$8:$R$119,MATCH(A36,Questionnaire!$A$8:$A$119,0))</f>
        <v>P3</v>
      </c>
      <c r="D36" s="12" t="str">
        <f aca="false">IF(C36="Hors périmètre","Contrôle exclu du parcours actif.",IF(C36="Maintenir","Conserver la preuve et programmer une nouvelle vérification.",IF(OR(INDEX(Questionnaire!$T$8:$T$119,MATCH(A36,Questionnaire!$A$8:$A$119,0))=0,INDEX(Questionnaire!$V$8:$V$119,MATCH(A36,Questionnaire!$A$8:$A$119,0))=1),"Vérifier la situation avec le référent ou le prestataire. Puis : ","")&amp;INDEX(Repères!$D$26:$D$137,MATCH(A36,Repères!$A$26:$A$137,0))))</f>
        <v>Vérifier la situation avec le référent ou le prestataire. Puis : Organiser une revue régulière et supprimer les comptes devenus inutiles.</v>
      </c>
      <c r="E36" s="12" t="s">
        <v>480</v>
      </c>
      <c r="F36" s="22"/>
      <c r="G36" s="23"/>
      <c r="H36" s="22" t="s">
        <v>481</v>
      </c>
      <c r="I36" s="22"/>
      <c r="J36" s="23"/>
      <c r="K36" s="25"/>
      <c r="L36" s="12" t="str">
        <f aca="true">IF(H36="Terminé",IF(OR(F36="",I36="",J36=""),"Clôture à documenter",IF(OR(C36="Maintenir",C36="Hors périmètre"),"Clôturé","Réévaluer le contrôle")),IF(C36="Hors périmètre","Hors périmètre",IF(C36="Maintenir","Maintenir",IF(F36="","Responsable à nommer",IF(G36="","Échéance à fixer",IF(G36&lt;TODAY(),"En retard",H36))))))</f>
        <v>Responsable à nommer</v>
      </c>
      <c r="M36" s="12" t="n">
        <f aca="false">INDEX(Questionnaire!$S$8:$S$119,MATCH(A36,Questionnaire!$A$8:$A$119,0))</f>
        <v>56</v>
      </c>
      <c r="N36" s="26" t="str">
        <f aca="false">IF(OR(Entreprise!$C$11="",C36="Maintenir",C36="Hors périmètre"),"",Entreprise!$C$11+INDEX(Barèmes!$G$7:$G$10,VALUE(RIGHT(C36,1))))</f>
        <v/>
      </c>
    </row>
    <row r="37" customFormat="false" ht="79.5" hidden="false" customHeight="true" outlineLevel="0" collapsed="false">
      <c r="A37" s="12" t="s">
        <v>210</v>
      </c>
      <c r="B37" s="12" t="s">
        <v>21</v>
      </c>
      <c r="C37" s="12" t="str">
        <f aca="false">INDEX(Questionnaire!$R$8:$R$119,MATCH(A37,Questionnaire!$A$8:$A$119,0))</f>
        <v>P2</v>
      </c>
      <c r="D37" s="12" t="str">
        <f aca="false">IF(C37="Hors périmètre","Contrôle exclu du parcours actif.",IF(C37="Maintenir","Conserver la preuve et programmer une nouvelle vérification.",IF(OR(INDEX(Questionnaire!$T$8:$T$119,MATCH(A37,Questionnaire!$A$8:$A$119,0))=0,INDEX(Questionnaire!$V$8:$V$119,MATCH(A37,Questionnaire!$A$8:$A$119,0))=1),"Vérifier la situation avec le référent ou le prestataire. Puis : ","")&amp;INDEX(Repères!$D$26:$D$137,MATCH(A37,Repères!$A$26:$A$137,0))))</f>
        <v>Vérifier la situation avec le référent ou le prestataire. Puis : Encadrer la télémaintenance et fermer les accès après intervention si possible.</v>
      </c>
      <c r="E37" s="12" t="s">
        <v>482</v>
      </c>
      <c r="F37" s="22"/>
      <c r="G37" s="23"/>
      <c r="H37" s="22" t="s">
        <v>481</v>
      </c>
      <c r="I37" s="22"/>
      <c r="J37" s="23"/>
      <c r="K37" s="25"/>
      <c r="L37" s="12" t="str">
        <f aca="true">IF(H37="Terminé",IF(OR(F37="",I37="",J37=""),"Clôture à documenter",IF(OR(C37="Maintenir",C37="Hors périmètre"),"Clôturé","Réévaluer le contrôle")),IF(C37="Hors périmètre","Hors périmètre",IF(C37="Maintenir","Maintenir",IF(F37="","Responsable à nommer",IF(G37="","Échéance à fixer",IF(G37&lt;TODAY(),"En retard",H37))))))</f>
        <v>Responsable à nommer</v>
      </c>
      <c r="M37" s="12" t="n">
        <f aca="false">INDEX(Questionnaire!$S$8:$S$119,MATCH(A37,Questionnaire!$A$8:$A$119,0))</f>
        <v>24</v>
      </c>
      <c r="N37" s="26" t="str">
        <f aca="false">IF(OR(Entreprise!$C$11="",C37="Maintenir",C37="Hors périmètre"),"",Entreprise!$C$11+INDEX(Barèmes!$G$7:$G$10,VALUE(RIGHT(C37,1))))</f>
        <v/>
      </c>
    </row>
    <row r="38" customFormat="false" ht="79.5" hidden="false" customHeight="true" outlineLevel="0" collapsed="false">
      <c r="A38" s="12" t="s">
        <v>213</v>
      </c>
      <c r="B38" s="12" t="s">
        <v>21</v>
      </c>
      <c r="C38" s="12" t="str">
        <f aca="false">INDEX(Questionnaire!$R$8:$R$119,MATCH(A38,Questionnaire!$A$8:$A$119,0))</f>
        <v>P3</v>
      </c>
      <c r="D38" s="12" t="str">
        <f aca="false">IF(C38="Hors périmètre","Contrôle exclu du parcours actif.",IF(C38="Maintenir","Conserver la preuve et programmer une nouvelle vérification.",IF(OR(INDEX(Questionnaire!$T$8:$T$119,MATCH(A38,Questionnaire!$A$8:$A$119,0))=0,INDEX(Questionnaire!$V$8:$V$119,MATCH(A38,Questionnaire!$A$8:$A$119,0))=1),"Vérifier la situation avec le référent ou le prestataire. Puis : ","")&amp;INDEX(Repères!$D$26:$D$137,MATCH(A38,Repères!$A$26:$A$137,0))))</f>
        <v>Vérifier la situation avec le référent ou le prestataire. Puis : Révoquer les connexions inutiles et réduire les autorisations des applications.</v>
      </c>
      <c r="E38" s="12" t="s">
        <v>482</v>
      </c>
      <c r="F38" s="22"/>
      <c r="G38" s="23"/>
      <c r="H38" s="22" t="s">
        <v>481</v>
      </c>
      <c r="I38" s="22"/>
      <c r="J38" s="23"/>
      <c r="K38" s="25"/>
      <c r="L38" s="12" t="str">
        <f aca="true">IF(H38="Terminé",IF(OR(F38="",I38="",J38=""),"Clôture à documenter",IF(OR(C38="Maintenir",C38="Hors périmètre"),"Clôturé","Réévaluer le contrôle")),IF(C38="Hors périmètre","Hors périmètre",IF(C38="Maintenir","Maintenir",IF(F38="","Responsable à nommer",IF(G38="","Échéance à fixer",IF(G38&lt;TODAY(),"En retard",H38))))))</f>
        <v>Responsable à nommer</v>
      </c>
      <c r="M38" s="12" t="n">
        <f aca="false">INDEX(Questionnaire!$S$8:$S$119,MATCH(A38,Questionnaire!$A$8:$A$119,0))</f>
        <v>57</v>
      </c>
      <c r="N38" s="26" t="str">
        <f aca="false">IF(OR(Entreprise!$C$11="",C38="Maintenir",C38="Hors périmètre"),"",Entreprise!$C$11+INDEX(Barèmes!$G$7:$G$10,VALUE(RIGHT(C38,1))))</f>
        <v/>
      </c>
    </row>
    <row r="39" customFormat="false" ht="79.5" hidden="false" customHeight="true" outlineLevel="0" collapsed="false">
      <c r="A39" s="12" t="s">
        <v>217</v>
      </c>
      <c r="B39" s="12" t="s">
        <v>21</v>
      </c>
      <c r="C39" s="12" t="str">
        <f aca="false">INDEX(Questionnaire!$R$8:$R$119,MATCH(A39,Questionnaire!$A$8:$A$119,0))</f>
        <v>P3</v>
      </c>
      <c r="D39" s="12" t="str">
        <f aca="false">IF(C39="Hors périmètre","Contrôle exclu du parcours actif.",IF(C39="Maintenir","Conserver la preuve et programmer une nouvelle vérification.",IF(OR(INDEX(Questionnaire!$T$8:$T$119,MATCH(A39,Questionnaire!$A$8:$A$119,0))=0,INDEX(Questionnaire!$V$8:$V$119,MATCH(A39,Questionnaire!$A$8:$A$119,0))=1),"Vérifier la situation avec le référent ou le prestataire. Puis : ","")&amp;INDEX(Repères!$D$26:$D$137,MATCH(A39,Repères!$A$26:$A$137,0))))</f>
        <v>Vérifier la situation avec le référent ou le prestataire. Puis : Prévoir un accès de secours contrôlé et en tester la récupération.</v>
      </c>
      <c r="E39" s="12" t="s">
        <v>482</v>
      </c>
      <c r="F39" s="22"/>
      <c r="G39" s="23"/>
      <c r="H39" s="22" t="s">
        <v>481</v>
      </c>
      <c r="I39" s="22"/>
      <c r="J39" s="23"/>
      <c r="K39" s="25"/>
      <c r="L39" s="12" t="str">
        <f aca="true">IF(H39="Terminé",IF(OR(F39="",I39="",J39=""),"Clôture à documenter",IF(OR(C39="Maintenir",C39="Hors périmètre"),"Clôturé","Réévaluer le contrôle")),IF(C39="Hors périmètre","Hors périmètre",IF(C39="Maintenir","Maintenir",IF(F39="","Responsable à nommer",IF(G39="","Échéance à fixer",IF(G39&lt;TODAY(),"En retard",H39))))))</f>
        <v>Responsable à nommer</v>
      </c>
      <c r="M39" s="12" t="n">
        <f aca="false">INDEX(Questionnaire!$S$8:$S$119,MATCH(A39,Questionnaire!$A$8:$A$119,0))</f>
        <v>58</v>
      </c>
      <c r="N39" s="26" t="str">
        <f aca="false">IF(OR(Entreprise!$C$11="",C39="Maintenir",C39="Hors périmètre"),"",Entreprise!$C$11+INDEX(Barèmes!$G$7:$G$10,VALUE(RIGHT(C39,1))))</f>
        <v/>
      </c>
    </row>
    <row r="40" customFormat="false" ht="79.5" hidden="false" customHeight="true" outlineLevel="0" collapsed="false">
      <c r="A40" s="12" t="s">
        <v>220</v>
      </c>
      <c r="B40" s="12" t="s">
        <v>22</v>
      </c>
      <c r="C40" s="12" t="str">
        <f aca="false">INDEX(Questionnaire!$R$8:$R$119,MATCH(A40,Questionnaire!$A$8:$A$119,0))</f>
        <v>P1</v>
      </c>
      <c r="D40" s="12" t="str">
        <f aca="false">IF(C40="Hors périmètre","Contrôle exclu du parcours actif.",IF(C40="Maintenir","Conserver la preuve et programmer une nouvelle vérification.",IF(OR(INDEX(Questionnaire!$T$8:$T$119,MATCH(A40,Questionnaire!$A$8:$A$119,0))=0,INDEX(Questionnaire!$V$8:$V$119,MATCH(A40,Questionnaire!$A$8:$A$119,0))=1),"Vérifier la situation avec le référent ou le prestataire. Puis : ","")&amp;INDEX(Repères!$D$26:$D$137,MATCH(A40,Repères!$A$26:$A$137,0))))</f>
        <v>Vérifier la situation avec le référent ou le prestataire. Puis : Activer une protection adaptée, contrôler sa couverture et désigner qui traite les alertes.</v>
      </c>
      <c r="E40" s="12" t="s">
        <v>482</v>
      </c>
      <c r="F40" s="22"/>
      <c r="G40" s="23"/>
      <c r="H40" s="22" t="s">
        <v>481</v>
      </c>
      <c r="I40" s="22"/>
      <c r="J40" s="23"/>
      <c r="K40" s="25"/>
      <c r="L40" s="12" t="str">
        <f aca="true">IF(H40="Terminé",IF(OR(F40="",I40="",J40=""),"Clôture à documenter",IF(OR(C40="Maintenir",C40="Hors périmètre"),"Clôturé","Réévaluer le contrôle")),IF(C40="Hors périmètre","Hors périmètre",IF(C40="Maintenir","Maintenir",IF(F40="","Responsable à nommer",IF(G40="","Échéance à fixer",IF(G40&lt;TODAY(),"En retard",H40))))))</f>
        <v>Responsable à nommer</v>
      </c>
      <c r="M40" s="12" t="n">
        <f aca="false">INDEX(Questionnaire!$S$8:$S$119,MATCH(A40,Questionnaire!$A$8:$A$119,0))</f>
        <v>6</v>
      </c>
      <c r="N40" s="26" t="str">
        <f aca="false">IF(OR(Entreprise!$C$11="",C40="Maintenir",C40="Hors périmètre"),"",Entreprise!$C$11+INDEX(Barèmes!$G$7:$G$10,VALUE(RIGHT(C40,1))))</f>
        <v/>
      </c>
    </row>
    <row r="41" customFormat="false" ht="79.5" hidden="false" customHeight="true" outlineLevel="0" collapsed="false">
      <c r="A41" s="12" t="s">
        <v>223</v>
      </c>
      <c r="B41" s="12" t="s">
        <v>22</v>
      </c>
      <c r="C41" s="12" t="str">
        <f aca="false">INDEX(Questionnaire!$R$8:$R$119,MATCH(A41,Questionnaire!$A$8:$A$119,0))</f>
        <v>P1</v>
      </c>
      <c r="D41" s="12" t="str">
        <f aca="false">IF(C41="Hors périmètre","Contrôle exclu du parcours actif.",IF(C41="Maintenir","Conserver la preuve et programmer une nouvelle vérification.",IF(OR(INDEX(Questionnaire!$T$8:$T$119,MATCH(A41,Questionnaire!$A$8:$A$119,0))=0,INDEX(Questionnaire!$V$8:$V$119,MATCH(A41,Questionnaire!$A$8:$A$119,0))=1),"Vérifier la situation avec le référent ou le prestataire. Puis : ","")&amp;INDEX(Repères!$D$26:$D$137,MATCH(A41,Repères!$A$26:$A$137,0))))</f>
        <v>Vérifier la situation avec le référent ou le prestataire. Puis : Automatiser les mises à jour et corriger rapidement les échecs sur les outils exposés.</v>
      </c>
      <c r="E41" s="12" t="s">
        <v>482</v>
      </c>
      <c r="F41" s="22"/>
      <c r="G41" s="23"/>
      <c r="H41" s="22" t="s">
        <v>481</v>
      </c>
      <c r="I41" s="22"/>
      <c r="J41" s="23"/>
      <c r="K41" s="25"/>
      <c r="L41" s="12" t="str">
        <f aca="true">IF(H41="Terminé",IF(OR(F41="",I41="",J41=""),"Clôture à documenter",IF(OR(C41="Maintenir",C41="Hors périmètre"),"Clôturé","Réévaluer le contrôle")),IF(C41="Hors périmètre","Hors périmètre",IF(C41="Maintenir","Maintenir",IF(F41="","Responsable à nommer",IF(G41="","Échéance à fixer",IF(G41&lt;TODAY(),"En retard",H41))))))</f>
        <v>Responsable à nommer</v>
      </c>
      <c r="M41" s="12" t="n">
        <f aca="false">INDEX(Questionnaire!$S$8:$S$119,MATCH(A41,Questionnaire!$A$8:$A$119,0))</f>
        <v>7</v>
      </c>
      <c r="N41" s="26" t="str">
        <f aca="false">IF(OR(Entreprise!$C$11="",C41="Maintenir",C41="Hors périmètre"),"",Entreprise!$C$11+INDEX(Barèmes!$G$7:$G$10,VALUE(RIGHT(C41,1))))</f>
        <v/>
      </c>
    </row>
    <row r="42" customFormat="false" ht="79.5" hidden="false" customHeight="true" outlineLevel="0" collapsed="false">
      <c r="A42" s="12" t="s">
        <v>226</v>
      </c>
      <c r="B42" s="12" t="s">
        <v>22</v>
      </c>
      <c r="C42" s="12" t="str">
        <f aca="false">INDEX(Questionnaire!$R$8:$R$119,MATCH(A42,Questionnaire!$A$8:$A$119,0))</f>
        <v>P1</v>
      </c>
      <c r="D42" s="12" t="str">
        <f aca="false">IF(C42="Hors périmètre","Contrôle exclu du parcours actif.",IF(C42="Maintenir","Conserver la preuve et programmer une nouvelle vérification.",IF(OR(INDEX(Questionnaire!$T$8:$T$119,MATCH(A42,Questionnaire!$A$8:$A$119,0))=0,INDEX(Questionnaire!$V$8:$V$119,MATCH(A42,Questionnaire!$A$8:$A$119,0))=1),"Vérifier la situation avec le référent ou le prestataire. Puis : ","")&amp;INDEX(Repères!$D$26:$D$137,MATCH(A42,Repères!$A$26:$A$137,0))))</f>
        <v>Vérifier la situation avec le référent ou le prestataire. Puis : Remplacer les systèmes obsolètes. Isoler provisoirement ceux qui ne peuvent pas être remplacés.</v>
      </c>
      <c r="E42" s="12" t="s">
        <v>483</v>
      </c>
      <c r="F42" s="22"/>
      <c r="G42" s="23"/>
      <c r="H42" s="22" t="s">
        <v>481</v>
      </c>
      <c r="I42" s="22"/>
      <c r="J42" s="23"/>
      <c r="K42" s="25"/>
      <c r="L42" s="12" t="str">
        <f aca="true">IF(H42="Terminé",IF(OR(F42="",I42="",J42=""),"Clôture à documenter",IF(OR(C42="Maintenir",C42="Hors périmètre"),"Clôturé","Réévaluer le contrôle")),IF(C42="Hors périmètre","Hors périmètre",IF(C42="Maintenir","Maintenir",IF(F42="","Responsable à nommer",IF(G42="","Échéance à fixer",IF(G42&lt;TODAY(),"En retard",H42))))))</f>
        <v>Responsable à nommer</v>
      </c>
      <c r="M42" s="12" t="n">
        <f aca="false">INDEX(Questionnaire!$S$8:$S$119,MATCH(A42,Questionnaire!$A$8:$A$119,0))</f>
        <v>8</v>
      </c>
      <c r="N42" s="26" t="str">
        <f aca="false">IF(OR(Entreprise!$C$11="",C42="Maintenir",C42="Hors périmètre"),"",Entreprise!$C$11+INDEX(Barèmes!$G$7:$G$10,VALUE(RIGHT(C42,1))))</f>
        <v/>
      </c>
    </row>
    <row r="43" customFormat="false" ht="79.5" hidden="false" customHeight="true" outlineLevel="0" collapsed="false">
      <c r="A43" s="12" t="s">
        <v>229</v>
      </c>
      <c r="B43" s="12" t="s">
        <v>22</v>
      </c>
      <c r="C43" s="12" t="str">
        <f aca="false">INDEX(Questionnaire!$R$8:$R$119,MATCH(A43,Questionnaire!$A$8:$A$119,0))</f>
        <v>P2</v>
      </c>
      <c r="D43" s="12" t="str">
        <f aca="false">IF(C43="Hors périmètre","Contrôle exclu du parcours actif.",IF(C43="Maintenir","Conserver la preuve et programmer une nouvelle vérification.",IF(OR(INDEX(Questionnaire!$T$8:$T$119,MATCH(A43,Questionnaire!$A$8:$A$119,0))=0,INDEX(Questionnaire!$V$8:$V$119,MATCH(A43,Questionnaire!$A$8:$A$119,0))=1),"Vérifier la situation avec le référent ou le prestataire. Puis : ","")&amp;INDEX(Repères!$D$26:$D$137,MATCH(A43,Repères!$A$26:$A$137,0))))</f>
        <v>Vérifier la situation avec le référent ou le prestataire. Puis : Activer le chiffrement du disque et vérifier la récupération avant généralisation.</v>
      </c>
      <c r="E43" s="12" t="s">
        <v>482</v>
      </c>
      <c r="F43" s="22"/>
      <c r="G43" s="23"/>
      <c r="H43" s="22" t="s">
        <v>481</v>
      </c>
      <c r="I43" s="22"/>
      <c r="J43" s="23"/>
      <c r="K43" s="25"/>
      <c r="L43" s="12" t="str">
        <f aca="true">IF(H43="Terminé",IF(OR(F43="",I43="",J43=""),"Clôture à documenter",IF(OR(C43="Maintenir",C43="Hors périmètre"),"Clôturé","Réévaluer le contrôle")),IF(C43="Hors périmètre","Hors périmètre",IF(C43="Maintenir","Maintenir",IF(F43="","Responsable à nommer",IF(G43="","Échéance à fixer",IF(G43&lt;TODAY(),"En retard",H43))))))</f>
        <v>Responsable à nommer</v>
      </c>
      <c r="M43" s="12" t="n">
        <f aca="false">INDEX(Questionnaire!$S$8:$S$119,MATCH(A43,Questionnaire!$A$8:$A$119,0))</f>
        <v>25</v>
      </c>
      <c r="N43" s="26" t="str">
        <f aca="false">IF(OR(Entreprise!$C$11="",C43="Maintenir",C43="Hors périmètre"),"",Entreprise!$C$11+INDEX(Barèmes!$G$7:$G$10,VALUE(RIGHT(C43,1))))</f>
        <v/>
      </c>
    </row>
    <row r="44" customFormat="false" ht="79.5" hidden="false" customHeight="true" outlineLevel="0" collapsed="false">
      <c r="A44" s="12" t="s">
        <v>233</v>
      </c>
      <c r="B44" s="12" t="s">
        <v>22</v>
      </c>
      <c r="C44" s="12" t="str">
        <f aca="false">INDEX(Questionnaire!$R$8:$R$119,MATCH(A44,Questionnaire!$A$8:$A$119,0))</f>
        <v>P3</v>
      </c>
      <c r="D44" s="12" t="str">
        <f aca="false">IF(C44="Hors périmètre","Contrôle exclu du parcours actif.",IF(C44="Maintenir","Conserver la preuve et programmer une nouvelle vérification.",IF(OR(INDEX(Questionnaire!$T$8:$T$119,MATCH(A44,Questionnaire!$A$8:$A$119,0))=0,INDEX(Questionnaire!$V$8:$V$119,MATCH(A44,Questionnaire!$A$8:$A$119,0))=1),"Vérifier la situation avec le référent ou le prestataire. Puis : ","")&amp;INDEX(Repères!$D$26:$D$137,MATCH(A44,Repères!$A$26:$A$137,0))))</f>
        <v>Vérifier la situation avec le référent ou le prestataire. Puis : Configurer le verrouillage et diffuser le réflexe de verrouiller en quittant le poste.</v>
      </c>
      <c r="E44" s="12" t="s">
        <v>480</v>
      </c>
      <c r="F44" s="22"/>
      <c r="G44" s="23"/>
      <c r="H44" s="22" t="s">
        <v>481</v>
      </c>
      <c r="I44" s="22"/>
      <c r="J44" s="23"/>
      <c r="K44" s="25"/>
      <c r="L44" s="12" t="str">
        <f aca="true">IF(H44="Terminé",IF(OR(F44="",I44="",J44=""),"Clôture à documenter",IF(OR(C44="Maintenir",C44="Hors périmètre"),"Clôturé","Réévaluer le contrôle")),IF(C44="Hors périmètre","Hors périmètre",IF(C44="Maintenir","Maintenir",IF(F44="","Responsable à nommer",IF(G44="","Échéance à fixer",IF(G44&lt;TODAY(),"En retard",H44))))))</f>
        <v>Responsable à nommer</v>
      </c>
      <c r="M44" s="12" t="n">
        <f aca="false">INDEX(Questionnaire!$S$8:$S$119,MATCH(A44,Questionnaire!$A$8:$A$119,0))</f>
        <v>59</v>
      </c>
      <c r="N44" s="26" t="str">
        <f aca="false">IF(OR(Entreprise!$C$11="",C44="Maintenir",C44="Hors périmètre"),"",Entreprise!$C$11+INDEX(Barèmes!$G$7:$G$10,VALUE(RIGHT(C44,1))))</f>
        <v/>
      </c>
    </row>
    <row r="45" customFormat="false" ht="79.5" hidden="false" customHeight="true" outlineLevel="0" collapsed="false">
      <c r="A45" s="12" t="s">
        <v>236</v>
      </c>
      <c r="B45" s="12" t="s">
        <v>22</v>
      </c>
      <c r="C45" s="12" t="str">
        <f aca="false">INDEX(Questionnaire!$R$8:$R$119,MATCH(A45,Questionnaire!$A$8:$A$119,0))</f>
        <v>P3</v>
      </c>
      <c r="D45" s="12" t="str">
        <f aca="false">IF(C45="Hors périmètre","Contrôle exclu du parcours actif.",IF(C45="Maintenir","Conserver la preuve et programmer une nouvelle vérification.",IF(OR(INDEX(Questionnaire!$T$8:$T$119,MATCH(A45,Questionnaire!$A$8:$A$119,0))=0,INDEX(Questionnaire!$V$8:$V$119,MATCH(A45,Questionnaire!$A$8:$A$119,0))=1),"Vérifier la situation avec le référent ou le prestataire. Puis : ","")&amp;INDEX(Repères!$D$26:$D$137,MATCH(A45,Repères!$A$26:$A$137,0))))</f>
        <v>Vérifier la situation avec le référent ou le prestataire. Puis : Sécuriser les téléphones et encadrer les données professionnelles sur appareils personnels.</v>
      </c>
      <c r="E45" s="12" t="s">
        <v>482</v>
      </c>
      <c r="F45" s="22"/>
      <c r="G45" s="23"/>
      <c r="H45" s="22" t="s">
        <v>481</v>
      </c>
      <c r="I45" s="22"/>
      <c r="J45" s="23"/>
      <c r="K45" s="25"/>
      <c r="L45" s="12" t="str">
        <f aca="true">IF(H45="Terminé",IF(OR(F45="",I45="",J45=""),"Clôture à documenter",IF(OR(C45="Maintenir",C45="Hors périmètre"),"Clôturé","Réévaluer le contrôle")),IF(C45="Hors périmètre","Hors périmètre",IF(C45="Maintenir","Maintenir",IF(F45="","Responsable à nommer",IF(G45="","Échéance à fixer",IF(G45&lt;TODAY(),"En retard",H45))))))</f>
        <v>Responsable à nommer</v>
      </c>
      <c r="M45" s="12" t="n">
        <f aca="false">INDEX(Questionnaire!$S$8:$S$119,MATCH(A45,Questionnaire!$A$8:$A$119,0))</f>
        <v>60</v>
      </c>
      <c r="N45" s="26" t="str">
        <f aca="false">IF(OR(Entreprise!$C$11="",C45="Maintenir",C45="Hors périmètre"),"",Entreprise!$C$11+INDEX(Barèmes!$G$7:$G$10,VALUE(RIGHT(C45,1))))</f>
        <v/>
      </c>
    </row>
    <row r="46" customFormat="false" ht="79.5" hidden="false" customHeight="true" outlineLevel="0" collapsed="false">
      <c r="A46" s="12" t="s">
        <v>239</v>
      </c>
      <c r="B46" s="12" t="s">
        <v>22</v>
      </c>
      <c r="C46" s="12" t="str">
        <f aca="false">INDEX(Questionnaire!$R$8:$R$119,MATCH(A46,Questionnaire!$A$8:$A$119,0))</f>
        <v>P3</v>
      </c>
      <c r="D46" s="12" t="str">
        <f aca="false">IF(C46="Hors périmètre","Contrôle exclu du parcours actif.",IF(C46="Maintenir","Conserver la preuve et programmer une nouvelle vérification.",IF(OR(INDEX(Questionnaire!$T$8:$T$119,MATCH(A46,Questionnaire!$A$8:$A$119,0))=0,INDEX(Questionnaire!$V$8:$V$119,MATCH(A46,Questionnaire!$A$8:$A$119,0))=1),"Vérifier la situation avec le référent ou le prestataire. Puis : ","")&amp;INDEX(Repères!$D$26:$D$137,MATCH(A46,Repères!$A$26:$A$137,0))))</f>
        <v>Vérifier la situation avec le référent ou le prestataire. Puis : Supprimer les outils inutiles et faire valider les installations par le référent.</v>
      </c>
      <c r="E46" s="12" t="s">
        <v>482</v>
      </c>
      <c r="F46" s="22"/>
      <c r="G46" s="23"/>
      <c r="H46" s="22" t="s">
        <v>481</v>
      </c>
      <c r="I46" s="22"/>
      <c r="J46" s="23"/>
      <c r="K46" s="25"/>
      <c r="L46" s="12" t="str">
        <f aca="true">IF(H46="Terminé",IF(OR(F46="",I46="",J46=""),"Clôture à documenter",IF(OR(C46="Maintenir",C46="Hors périmètre"),"Clôturé","Réévaluer le contrôle")),IF(C46="Hors périmètre","Hors périmètre",IF(C46="Maintenir","Maintenir",IF(F46="","Responsable à nommer",IF(G46="","Échéance à fixer",IF(G46&lt;TODAY(),"En retard",H46))))))</f>
        <v>Responsable à nommer</v>
      </c>
      <c r="M46" s="12" t="n">
        <f aca="false">INDEX(Questionnaire!$S$8:$S$119,MATCH(A46,Questionnaire!$A$8:$A$119,0))</f>
        <v>61</v>
      </c>
      <c r="N46" s="26" t="str">
        <f aca="false">IF(OR(Entreprise!$C$11="",C46="Maintenir",C46="Hors périmètre"),"",Entreprise!$C$11+INDEX(Barèmes!$G$7:$G$10,VALUE(RIGHT(C46,1))))</f>
        <v/>
      </c>
    </row>
    <row r="47" customFormat="false" ht="79.5" hidden="false" customHeight="true" outlineLevel="0" collapsed="false">
      <c r="A47" s="12" t="s">
        <v>242</v>
      </c>
      <c r="B47" s="12" t="s">
        <v>22</v>
      </c>
      <c r="C47" s="12" t="str">
        <f aca="false">INDEX(Questionnaire!$R$8:$R$119,MATCH(A47,Questionnaire!$A$8:$A$119,0))</f>
        <v>P4</v>
      </c>
      <c r="D47" s="12" t="str">
        <f aca="false">IF(C47="Hors périmètre","Contrôle exclu du parcours actif.",IF(C47="Maintenir","Conserver la preuve et programmer une nouvelle vérification.",IF(OR(INDEX(Questionnaire!$T$8:$T$119,MATCH(A47,Questionnaire!$A$8:$A$119,0))=0,INDEX(Questionnaire!$V$8:$V$119,MATCH(A47,Questionnaire!$A$8:$A$119,0))=1),"Vérifier la situation avec le référent ou le prestataire. Puis : ","")&amp;INDEX(Repères!$D$26:$D$137,MATCH(A47,Repères!$A$26:$A$137,0))))</f>
        <v>Vérifier la situation avec le référent ou le prestataire. Puis : Encadrer l’usage des clés USB et effacer les données avant réemploi ou recyclage.</v>
      </c>
      <c r="E47" s="12" t="s">
        <v>480</v>
      </c>
      <c r="F47" s="22"/>
      <c r="G47" s="23"/>
      <c r="H47" s="22" t="s">
        <v>481</v>
      </c>
      <c r="I47" s="22"/>
      <c r="J47" s="23"/>
      <c r="K47" s="25"/>
      <c r="L47" s="12" t="str">
        <f aca="true">IF(H47="Terminé",IF(OR(F47="",I47="",J47=""),"Clôture à documenter",IF(OR(C47="Maintenir",C47="Hors périmètre"),"Clôturé","Réévaluer le contrôle")),IF(C47="Hors périmètre","Hors périmètre",IF(C47="Maintenir","Maintenir",IF(F47="","Responsable à nommer",IF(G47="","Échéance à fixer",IF(G47&lt;TODAY(),"En retard",H47))))))</f>
        <v>Responsable à nommer</v>
      </c>
      <c r="M47" s="12" t="n">
        <f aca="false">INDEX(Questionnaire!$S$8:$S$119,MATCH(A47,Questionnaire!$A$8:$A$119,0))</f>
        <v>107</v>
      </c>
      <c r="N47" s="26" t="str">
        <f aca="false">IF(OR(Entreprise!$C$11="",C47="Maintenir",C47="Hors périmètre"),"",Entreprise!$C$11+INDEX(Barèmes!$G$7:$G$10,VALUE(RIGHT(C47,1))))</f>
        <v/>
      </c>
    </row>
    <row r="48" customFormat="false" ht="79.5" hidden="false" customHeight="true" outlineLevel="0" collapsed="false">
      <c r="A48" s="12" t="s">
        <v>245</v>
      </c>
      <c r="B48" s="12" t="s">
        <v>23</v>
      </c>
      <c r="C48" s="12" t="str">
        <f aca="false">INDEX(Questionnaire!$R$8:$R$119,MATCH(A48,Questionnaire!$A$8:$A$119,0))</f>
        <v>P1</v>
      </c>
      <c r="D48" s="12" t="str">
        <f aca="false">IF(C48="Hors périmètre","Contrôle exclu du parcours actif.",IF(C48="Maintenir","Conserver la preuve et programmer une nouvelle vérification.",IF(OR(INDEX(Questionnaire!$T$8:$T$119,MATCH(A48,Questionnaire!$A$8:$A$119,0))=0,INDEX(Questionnaire!$V$8:$V$119,MATCH(A48,Questionnaire!$A$8:$A$119,0))=1),"Vérifier la situation avec le référent ou le prestataire. Puis : ","")&amp;INDEX(Repères!$D$26:$D$137,MATCH(A48,Repères!$A$26:$A$137,0))))</f>
        <v>Vérifier la situation avec le référent ou le prestataire. Puis : Faire revoir le filtrage, mettre à jour et fermer l’administration publique inutile.</v>
      </c>
      <c r="E48" s="12" t="s">
        <v>482</v>
      </c>
      <c r="F48" s="22"/>
      <c r="G48" s="23"/>
      <c r="H48" s="22" t="s">
        <v>481</v>
      </c>
      <c r="I48" s="22"/>
      <c r="J48" s="23"/>
      <c r="K48" s="25"/>
      <c r="L48" s="12" t="str">
        <f aca="true">IF(H48="Terminé",IF(OR(F48="",I48="",J48=""),"Clôture à documenter",IF(OR(C48="Maintenir",C48="Hors périmètre"),"Clôturé","Réévaluer le contrôle")),IF(C48="Hors périmètre","Hors périmètre",IF(C48="Maintenir","Maintenir",IF(F48="","Responsable à nommer",IF(G48="","Échéance à fixer",IF(G48&lt;TODAY(),"En retard",H48))))))</f>
        <v>Responsable à nommer</v>
      </c>
      <c r="M48" s="12" t="n">
        <f aca="false">INDEX(Questionnaire!$S$8:$S$119,MATCH(A48,Questionnaire!$A$8:$A$119,0))</f>
        <v>9</v>
      </c>
      <c r="N48" s="26" t="str">
        <f aca="false">IF(OR(Entreprise!$C$11="",C48="Maintenir",C48="Hors périmètre"),"",Entreprise!$C$11+INDEX(Barèmes!$G$7:$G$10,VALUE(RIGHT(C48,1))))</f>
        <v/>
      </c>
    </row>
    <row r="49" customFormat="false" ht="79.5" hidden="false" customHeight="true" outlineLevel="0" collapsed="false">
      <c r="A49" s="12" t="s">
        <v>249</v>
      </c>
      <c r="B49" s="12" t="s">
        <v>23</v>
      </c>
      <c r="C49" s="12" t="str">
        <f aca="false">INDEX(Questionnaire!$R$8:$R$119,MATCH(A49,Questionnaire!$A$8:$A$119,0))</f>
        <v>P1</v>
      </c>
      <c r="D49" s="12" t="str">
        <f aca="false">IF(C49="Hors périmètre","Contrôle exclu du parcours actif.",IF(C49="Maintenir","Conserver la preuve et programmer une nouvelle vérification.",IF(OR(INDEX(Questionnaire!$T$8:$T$119,MATCH(A49,Questionnaire!$A$8:$A$119,0))=0,INDEX(Questionnaire!$V$8:$V$119,MATCH(A49,Questionnaire!$A$8:$A$119,0))=1),"Vérifier la situation avec le référent ou le prestataire. Puis : ","")&amp;INDEX(Repères!$D$26:$D$137,MATCH(A49,Repères!$A$26:$A$137,0))))</f>
        <v>Vérifier la situation avec le référent ou le prestataire. Puis : Fermer les services inutiles et sécuriser les accès indispensables.</v>
      </c>
      <c r="E49" s="12" t="s">
        <v>482</v>
      </c>
      <c r="F49" s="22"/>
      <c r="G49" s="23"/>
      <c r="H49" s="22" t="s">
        <v>481</v>
      </c>
      <c r="I49" s="22"/>
      <c r="J49" s="23"/>
      <c r="K49" s="25"/>
      <c r="L49" s="12" t="str">
        <f aca="true">IF(H49="Terminé",IF(OR(F49="",I49="",J49=""),"Clôture à documenter",IF(OR(C49="Maintenir",C49="Hors périmètre"),"Clôturé","Réévaluer le contrôle")),IF(C49="Hors périmètre","Hors périmètre",IF(C49="Maintenir","Maintenir",IF(F49="","Responsable à nommer",IF(G49="","Échéance à fixer",IF(G49&lt;TODAY(),"En retard",H49))))))</f>
        <v>Responsable à nommer</v>
      </c>
      <c r="M49" s="12" t="n">
        <f aca="false">INDEX(Questionnaire!$S$8:$S$119,MATCH(A49,Questionnaire!$A$8:$A$119,0))</f>
        <v>10</v>
      </c>
      <c r="N49" s="26" t="str">
        <f aca="false">IF(OR(Entreprise!$C$11="",C49="Maintenir",C49="Hors périmètre"),"",Entreprise!$C$11+INDEX(Barèmes!$G$7:$G$10,VALUE(RIGHT(C49,1))))</f>
        <v/>
      </c>
    </row>
    <row r="50" customFormat="false" ht="79.5" hidden="false" customHeight="true" outlineLevel="0" collapsed="false">
      <c r="A50" s="12" t="s">
        <v>252</v>
      </c>
      <c r="B50" s="12" t="s">
        <v>23</v>
      </c>
      <c r="C50" s="12" t="str">
        <f aca="false">INDEX(Questionnaire!$R$8:$R$119,MATCH(A50,Questionnaire!$A$8:$A$119,0))</f>
        <v>P3</v>
      </c>
      <c r="D50" s="12" t="str">
        <f aca="false">IF(C50="Hors périmètre","Contrôle exclu du parcours actif.",IF(C50="Maintenir","Conserver la preuve et programmer une nouvelle vérification.",IF(OR(INDEX(Questionnaire!$T$8:$T$119,MATCH(A50,Questionnaire!$A$8:$A$119,0))=0,INDEX(Questionnaire!$V$8:$V$119,MATCH(A50,Questionnaire!$A$8:$A$119,0))=1),"Vérifier la situation avec le référent ou le prestataire. Puis : ","")&amp;INDEX(Repères!$D$26:$D$137,MATCH(A50,Repères!$A$26:$A$137,0))))</f>
        <v>Vérifier la situation avec le référent ou le prestataire. Puis : Créer un réseau invité isolé et tester cette séparation.</v>
      </c>
      <c r="E50" s="12" t="s">
        <v>482</v>
      </c>
      <c r="F50" s="22"/>
      <c r="G50" s="23"/>
      <c r="H50" s="22" t="s">
        <v>481</v>
      </c>
      <c r="I50" s="22"/>
      <c r="J50" s="23"/>
      <c r="K50" s="25"/>
      <c r="L50" s="12" t="str">
        <f aca="true">IF(H50="Terminé",IF(OR(F50="",I50="",J50=""),"Clôture à documenter",IF(OR(C50="Maintenir",C50="Hors périmètre"),"Clôturé","Réévaluer le contrôle")),IF(C50="Hors périmètre","Hors périmètre",IF(C50="Maintenir","Maintenir",IF(F50="","Responsable à nommer",IF(G50="","Échéance à fixer",IF(G50&lt;TODAY(),"En retard",H50))))))</f>
        <v>Responsable à nommer</v>
      </c>
      <c r="M50" s="12" t="n">
        <f aca="false">INDEX(Questionnaire!$S$8:$S$119,MATCH(A50,Questionnaire!$A$8:$A$119,0))</f>
        <v>62</v>
      </c>
      <c r="N50" s="26" t="str">
        <f aca="false">IF(OR(Entreprise!$C$11="",C50="Maintenir",C50="Hors périmètre"),"",Entreprise!$C$11+INDEX(Barèmes!$G$7:$G$10,VALUE(RIGHT(C50,1))))</f>
        <v/>
      </c>
    </row>
    <row r="51" customFormat="false" ht="79.5" hidden="false" customHeight="true" outlineLevel="0" collapsed="false">
      <c r="A51" s="12" t="s">
        <v>255</v>
      </c>
      <c r="B51" s="12" t="s">
        <v>23</v>
      </c>
      <c r="C51" s="12" t="str">
        <f aca="false">INDEX(Questionnaire!$R$8:$R$119,MATCH(A51,Questionnaire!$A$8:$A$119,0))</f>
        <v>P3</v>
      </c>
      <c r="D51" s="12" t="str">
        <f aca="false">IF(C51="Hors périmètre","Contrôle exclu du parcours actif.",IF(C51="Maintenir","Conserver la preuve et programmer une nouvelle vérification.",IF(OR(INDEX(Questionnaire!$T$8:$T$119,MATCH(A51,Questionnaire!$A$8:$A$119,0))=0,INDEX(Questionnaire!$V$8:$V$119,MATCH(A51,Questionnaire!$A$8:$A$119,0))=1),"Vérifier la situation avec le référent ou le prestataire. Puis : ","")&amp;INDEX(Repères!$D$26:$D$137,MATCH(A51,Repères!$A$26:$A$137,0))))</f>
        <v>Vérifier la situation avec le référent ou le prestataire. Puis : Revoir la sécurité Wi-Fi et renouveler les accès lors d’un départ si nécessaire.</v>
      </c>
      <c r="E51" s="12" t="s">
        <v>480</v>
      </c>
      <c r="F51" s="22"/>
      <c r="G51" s="23"/>
      <c r="H51" s="22" t="s">
        <v>481</v>
      </c>
      <c r="I51" s="22"/>
      <c r="J51" s="23"/>
      <c r="K51" s="25"/>
      <c r="L51" s="12" t="str">
        <f aca="true">IF(H51="Terminé",IF(OR(F51="",I51="",J51=""),"Clôture à documenter",IF(OR(C51="Maintenir",C51="Hors périmètre"),"Clôturé","Réévaluer le contrôle")),IF(C51="Hors périmètre","Hors périmètre",IF(C51="Maintenir","Maintenir",IF(F51="","Responsable à nommer",IF(G51="","Échéance à fixer",IF(G51&lt;TODAY(),"En retard",H51))))))</f>
        <v>Responsable à nommer</v>
      </c>
      <c r="M51" s="12" t="n">
        <f aca="false">INDEX(Questionnaire!$S$8:$S$119,MATCH(A51,Questionnaire!$A$8:$A$119,0))</f>
        <v>63</v>
      </c>
      <c r="N51" s="26" t="str">
        <f aca="false">IF(OR(Entreprise!$C$11="",C51="Maintenir",C51="Hors périmètre"),"",Entreprise!$C$11+INDEX(Barèmes!$G$7:$G$10,VALUE(RIGHT(C51,1))))</f>
        <v/>
      </c>
    </row>
    <row r="52" customFormat="false" ht="79.5" hidden="false" customHeight="true" outlineLevel="0" collapsed="false">
      <c r="A52" s="12" t="s">
        <v>258</v>
      </c>
      <c r="B52" s="12" t="s">
        <v>23</v>
      </c>
      <c r="C52" s="12" t="str">
        <f aca="false">INDEX(Questionnaire!$R$8:$R$119,MATCH(A52,Questionnaire!$A$8:$A$119,0))</f>
        <v>P3</v>
      </c>
      <c r="D52" s="12" t="str">
        <f aca="false">IF(C52="Hors périmètre","Contrôle exclu du parcours actif.",IF(C52="Maintenir","Conserver la preuve et programmer une nouvelle vérification.",IF(OR(INDEX(Questionnaire!$T$8:$T$119,MATCH(A52,Questionnaire!$A$8:$A$119,0))=0,INDEX(Questionnaire!$V$8:$V$119,MATCH(A52,Questionnaire!$A$8:$A$119,0))=1),"Vérifier la situation avec le référent ou le prestataire. Puis : ","")&amp;INDEX(Repères!$D$26:$D$137,MATCH(A52,Repères!$A$26:$A$137,0))))</f>
        <v>Vérifier la situation avec le référent ou le prestataire. Puis : Isoler les équipements connectés et limiter leurs communications.</v>
      </c>
      <c r="E52" s="12" t="s">
        <v>483</v>
      </c>
      <c r="F52" s="22"/>
      <c r="G52" s="23"/>
      <c r="H52" s="22" t="s">
        <v>481</v>
      </c>
      <c r="I52" s="22"/>
      <c r="J52" s="23"/>
      <c r="K52" s="25"/>
      <c r="L52" s="12" t="str">
        <f aca="true">IF(H52="Terminé",IF(OR(F52="",I52="",J52=""),"Clôture à documenter",IF(OR(C52="Maintenir",C52="Hors périmètre"),"Clôturé","Réévaluer le contrôle")),IF(C52="Hors périmètre","Hors périmètre",IF(C52="Maintenir","Maintenir",IF(F52="","Responsable à nommer",IF(G52="","Échéance à fixer",IF(G52&lt;TODAY(),"En retard",H52))))))</f>
        <v>Responsable à nommer</v>
      </c>
      <c r="M52" s="12" t="n">
        <f aca="false">INDEX(Questionnaire!$S$8:$S$119,MATCH(A52,Questionnaire!$A$8:$A$119,0))</f>
        <v>64</v>
      </c>
      <c r="N52" s="26" t="str">
        <f aca="false">IF(OR(Entreprise!$C$11="",C52="Maintenir",C52="Hors périmètre"),"",Entreprise!$C$11+INDEX(Barèmes!$G$7:$G$10,VALUE(RIGHT(C52,1))))</f>
        <v/>
      </c>
    </row>
    <row r="53" customFormat="false" ht="79.5" hidden="false" customHeight="true" outlineLevel="0" collapsed="false">
      <c r="A53" s="12" t="s">
        <v>261</v>
      </c>
      <c r="B53" s="12" t="s">
        <v>23</v>
      </c>
      <c r="C53" s="12" t="str">
        <f aca="false">INDEX(Questionnaire!$R$8:$R$119,MATCH(A53,Questionnaire!$A$8:$A$119,0))</f>
        <v>P3</v>
      </c>
      <c r="D53" s="12" t="str">
        <f aca="false">IF(C53="Hors périmètre","Contrôle exclu du parcours actif.",IF(C53="Maintenir","Conserver la preuve et programmer une nouvelle vérification.",IF(OR(INDEX(Questionnaire!$T$8:$T$119,MATCH(A53,Questionnaire!$A$8:$A$119,0))=0,INDEX(Questionnaire!$V$8:$V$119,MATCH(A53,Questionnaire!$A$8:$A$119,0))=1),"Vérifier la situation avec le référent ou le prestataire. Puis : ","")&amp;INDEX(Repères!$D$26:$D$137,MATCH(A53,Repères!$A$26:$A$137,0))))</f>
        <v>Vérifier la situation avec le référent ou le prestataire. Puis : Définir les conditions de télétravail et éviter les accès depuis des appareils non maîtrisés.</v>
      </c>
      <c r="E53" s="12" t="s">
        <v>482</v>
      </c>
      <c r="F53" s="22"/>
      <c r="G53" s="23"/>
      <c r="H53" s="22" t="s">
        <v>481</v>
      </c>
      <c r="I53" s="22"/>
      <c r="J53" s="23"/>
      <c r="K53" s="25"/>
      <c r="L53" s="12" t="str">
        <f aca="true">IF(H53="Terminé",IF(OR(F53="",I53="",J53=""),"Clôture à documenter",IF(OR(C53="Maintenir",C53="Hors périmètre"),"Clôturé","Réévaluer le contrôle")),IF(C53="Hors périmètre","Hors périmètre",IF(C53="Maintenir","Maintenir",IF(F53="","Responsable à nommer",IF(G53="","Échéance à fixer",IF(G53&lt;TODAY(),"En retard",H53))))))</f>
        <v>Responsable à nommer</v>
      </c>
      <c r="M53" s="12" t="n">
        <f aca="false">INDEX(Questionnaire!$S$8:$S$119,MATCH(A53,Questionnaire!$A$8:$A$119,0))</f>
        <v>65</v>
      </c>
      <c r="N53" s="26" t="str">
        <f aca="false">IF(OR(Entreprise!$C$11="",C53="Maintenir",C53="Hors périmètre"),"",Entreprise!$C$11+INDEX(Barèmes!$G$7:$G$10,VALUE(RIGHT(C53,1))))</f>
        <v/>
      </c>
    </row>
    <row r="54" customFormat="false" ht="79.5" hidden="false" customHeight="true" outlineLevel="0" collapsed="false">
      <c r="A54" s="12" t="s">
        <v>264</v>
      </c>
      <c r="B54" s="12" t="s">
        <v>23</v>
      </c>
      <c r="C54" s="12" t="str">
        <f aca="false">INDEX(Questionnaire!$R$8:$R$119,MATCH(A54,Questionnaire!$A$8:$A$119,0))</f>
        <v>P3</v>
      </c>
      <c r="D54" s="12" t="str">
        <f aca="false">IF(C54="Hors périmètre","Contrôle exclu du parcours actif.",IF(C54="Maintenir","Conserver la preuve et programmer une nouvelle vérification.",IF(OR(INDEX(Questionnaire!$T$8:$T$119,MATCH(A54,Questionnaire!$A$8:$A$119,0))=0,INDEX(Questionnaire!$V$8:$V$119,MATCH(A54,Questionnaire!$A$8:$A$119,0))=1),"Vérifier la situation avec le référent ou le prestataire. Puis : ","")&amp;INDEX(Repères!$D$26:$D$137,MATCH(A54,Repères!$A$26:$A$137,0))))</f>
        <v>Vérifier la situation avec le référent ou le prestataire. Puis : Attribuer la maintenance et traiter rapidement les vulnérabilités exposées.</v>
      </c>
      <c r="E54" s="12" t="s">
        <v>482</v>
      </c>
      <c r="F54" s="22"/>
      <c r="G54" s="23"/>
      <c r="H54" s="22" t="s">
        <v>481</v>
      </c>
      <c r="I54" s="22"/>
      <c r="J54" s="23"/>
      <c r="K54" s="25"/>
      <c r="L54" s="12" t="str">
        <f aca="true">IF(H54="Terminé",IF(OR(F54="",I54="",J54=""),"Clôture à documenter",IF(OR(C54="Maintenir",C54="Hors périmètre"),"Clôturé","Réévaluer le contrôle")),IF(C54="Hors périmètre","Hors périmètre",IF(C54="Maintenir","Maintenir",IF(F54="","Responsable à nommer",IF(G54="","Échéance à fixer",IF(G54&lt;TODAY(),"En retard",H54))))))</f>
        <v>Responsable à nommer</v>
      </c>
      <c r="M54" s="12" t="n">
        <f aca="false">INDEX(Questionnaire!$S$8:$S$119,MATCH(A54,Questionnaire!$A$8:$A$119,0))</f>
        <v>66</v>
      </c>
      <c r="N54" s="26" t="str">
        <f aca="false">IF(OR(Entreprise!$C$11="",C54="Maintenir",C54="Hors périmètre"),"",Entreprise!$C$11+INDEX(Barèmes!$G$7:$G$10,VALUE(RIGHT(C54,1))))</f>
        <v/>
      </c>
    </row>
    <row r="55" customFormat="false" ht="79.5" hidden="false" customHeight="true" outlineLevel="0" collapsed="false">
      <c r="A55" s="12" t="s">
        <v>268</v>
      </c>
      <c r="B55" s="12" t="s">
        <v>23</v>
      </c>
      <c r="C55" s="12" t="str">
        <f aca="false">INDEX(Questionnaire!$R$8:$R$119,MATCH(A55,Questionnaire!$A$8:$A$119,0))</f>
        <v>P4</v>
      </c>
      <c r="D55" s="12" t="str">
        <f aca="false">IF(C55="Hors périmètre","Contrôle exclu du parcours actif.",IF(C55="Maintenir","Conserver la preuve et programmer une nouvelle vérification.",IF(OR(INDEX(Questionnaire!$T$8:$T$119,MATCH(A55,Questionnaire!$A$8:$A$119,0))=0,INDEX(Questionnaire!$V$8:$V$119,MATCH(A55,Questionnaire!$A$8:$A$119,0))=1),"Vérifier la situation avec le référent ou le prestataire. Puis : ","")&amp;INDEX(Repères!$D$26:$D$137,MATCH(A55,Repères!$A$26:$A$137,0))))</f>
        <v>Vérifier la situation avec le référent ou le prestataire. Puis : Limiter l’accès physique et protéger les équipements des incidents locaux.</v>
      </c>
      <c r="E55" s="12" t="s">
        <v>482</v>
      </c>
      <c r="F55" s="22"/>
      <c r="G55" s="23"/>
      <c r="H55" s="22" t="s">
        <v>481</v>
      </c>
      <c r="I55" s="22"/>
      <c r="J55" s="23"/>
      <c r="K55" s="25"/>
      <c r="L55" s="12" t="str">
        <f aca="true">IF(H55="Terminé",IF(OR(F55="",I55="",J55=""),"Clôture à documenter",IF(OR(C55="Maintenir",C55="Hors périmètre"),"Clôturé","Réévaluer le contrôle")),IF(C55="Hors périmètre","Hors périmètre",IF(C55="Maintenir","Maintenir",IF(F55="","Responsable à nommer",IF(G55="","Échéance à fixer",IF(G55&lt;TODAY(),"En retard",H55))))))</f>
        <v>Responsable à nommer</v>
      </c>
      <c r="M55" s="12" t="n">
        <f aca="false">INDEX(Questionnaire!$S$8:$S$119,MATCH(A55,Questionnaire!$A$8:$A$119,0))</f>
        <v>108</v>
      </c>
      <c r="N55" s="26" t="str">
        <f aca="false">IF(OR(Entreprise!$C$11="",C55="Maintenir",C55="Hors périmètre"),"",Entreprise!$C$11+INDEX(Barèmes!$G$7:$G$10,VALUE(RIGHT(C55,1))))</f>
        <v/>
      </c>
    </row>
    <row r="56" customFormat="false" ht="79.5" hidden="false" customHeight="true" outlineLevel="0" collapsed="false">
      <c r="A56" s="12" t="s">
        <v>271</v>
      </c>
      <c r="B56" s="12" t="s">
        <v>25</v>
      </c>
      <c r="C56" s="12" t="str">
        <f aca="false">INDEX(Questionnaire!$R$8:$R$119,MATCH(A56,Questionnaire!$A$8:$A$119,0))</f>
        <v>P2</v>
      </c>
      <c r="D56" s="12" t="str">
        <f aca="false">IF(C56="Hors périmètre","Contrôle exclu du parcours actif.",IF(C56="Maintenir","Conserver la preuve et programmer une nouvelle vérification.",IF(OR(INDEX(Questionnaire!$T$8:$T$119,MATCH(A56,Questionnaire!$A$8:$A$119,0))=0,INDEX(Questionnaire!$V$8:$V$119,MATCH(A56,Questionnaire!$A$8:$A$119,0))=1),"Vérifier la situation avec le référent ou le prestataire. Puis : ","")&amp;INDEX(Repères!$D$26:$D$137,MATCH(A56,Repères!$A$26:$A$137,0))))</f>
        <v>Vérifier la situation avec le référent ou le prestataire. Puis : Vérifier le filtrage de messagerie et créer un canal de signalement simple.</v>
      </c>
      <c r="E56" s="12" t="s">
        <v>482</v>
      </c>
      <c r="F56" s="22"/>
      <c r="G56" s="23"/>
      <c r="H56" s="22" t="s">
        <v>481</v>
      </c>
      <c r="I56" s="22"/>
      <c r="J56" s="23"/>
      <c r="K56" s="25"/>
      <c r="L56" s="12" t="str">
        <f aca="true">IF(H56="Terminé",IF(OR(F56="",I56="",J56=""),"Clôture à documenter",IF(OR(C56="Maintenir",C56="Hors périmètre"),"Clôturé","Réévaluer le contrôle")),IF(C56="Hors périmètre","Hors périmètre",IF(C56="Maintenir","Maintenir",IF(F56="","Responsable à nommer",IF(G56="","Échéance à fixer",IF(G56&lt;TODAY(),"En retard",H56))))))</f>
        <v>Responsable à nommer</v>
      </c>
      <c r="M56" s="12" t="n">
        <f aca="false">INDEX(Questionnaire!$S$8:$S$119,MATCH(A56,Questionnaire!$A$8:$A$119,0))</f>
        <v>26</v>
      </c>
      <c r="N56" s="26" t="str">
        <f aca="false">IF(OR(Entreprise!$C$11="",C56="Maintenir",C56="Hors périmètre"),"",Entreprise!$C$11+INDEX(Barèmes!$G$7:$G$10,VALUE(RIGHT(C56,1))))</f>
        <v/>
      </c>
    </row>
    <row r="57" customFormat="false" ht="79.5" hidden="false" customHeight="true" outlineLevel="0" collapsed="false">
      <c r="A57" s="12" t="s">
        <v>274</v>
      </c>
      <c r="B57" s="12" t="s">
        <v>25</v>
      </c>
      <c r="C57" s="12" t="str">
        <f aca="false">INDEX(Questionnaire!$R$8:$R$119,MATCH(A57,Questionnaire!$A$8:$A$119,0))</f>
        <v>P1</v>
      </c>
      <c r="D57" s="12" t="str">
        <f aca="false">IF(C57="Hors périmètre","Contrôle exclu du parcours actif.",IF(C57="Maintenir","Conserver la preuve et programmer une nouvelle vérification.",IF(OR(INDEX(Questionnaire!$T$8:$T$119,MATCH(A57,Questionnaire!$A$8:$A$119,0))=0,INDEX(Questionnaire!$V$8:$V$119,MATCH(A57,Questionnaire!$A$8:$A$119,0))=1),"Vérifier la situation avec le référent ou le prestataire. Puis : ","")&amp;INDEX(Repères!$D$26:$D$137,MATCH(A57,Repères!$A$26:$A$137,0))))</f>
        <v>Vérifier la situation avec le référent ou le prestataire. Puis : Imposer un rappel indépendant avant tout changement de coordonnées bancaires.</v>
      </c>
      <c r="E57" s="12" t="s">
        <v>480</v>
      </c>
      <c r="F57" s="22"/>
      <c r="G57" s="23"/>
      <c r="H57" s="22" t="s">
        <v>481</v>
      </c>
      <c r="I57" s="22"/>
      <c r="J57" s="23"/>
      <c r="K57" s="25"/>
      <c r="L57" s="12" t="str">
        <f aca="true">IF(H57="Terminé",IF(OR(F57="",I57="",J57=""),"Clôture à documenter",IF(OR(C57="Maintenir",C57="Hors périmètre"),"Clôturé","Réévaluer le contrôle")),IF(C57="Hors périmètre","Hors périmètre",IF(C57="Maintenir","Maintenir",IF(F57="","Responsable à nommer",IF(G57="","Échéance à fixer",IF(G57&lt;TODAY(),"En retard",H57))))))</f>
        <v>Responsable à nommer</v>
      </c>
      <c r="M57" s="12" t="n">
        <f aca="false">INDEX(Questionnaire!$S$8:$S$119,MATCH(A57,Questionnaire!$A$8:$A$119,0))</f>
        <v>11</v>
      </c>
      <c r="N57" s="26" t="str">
        <f aca="false">IF(OR(Entreprise!$C$11="",C57="Maintenir",C57="Hors périmètre"),"",Entreprise!$C$11+INDEX(Barèmes!$G$7:$G$10,VALUE(RIGHT(C57,1))))</f>
        <v/>
      </c>
    </row>
    <row r="58" customFormat="false" ht="79.5" hidden="false" customHeight="true" outlineLevel="0" collapsed="false">
      <c r="A58" s="12" t="s">
        <v>277</v>
      </c>
      <c r="B58" s="12" t="s">
        <v>25</v>
      </c>
      <c r="C58" s="12" t="str">
        <f aca="false">INDEX(Questionnaire!$R$8:$R$119,MATCH(A58,Questionnaire!$A$8:$A$119,0))</f>
        <v>P2</v>
      </c>
      <c r="D58" s="12" t="str">
        <f aca="false">IF(C58="Hors périmètre","Contrôle exclu du parcours actif.",IF(C58="Maintenir","Conserver la preuve et programmer une nouvelle vérification.",IF(OR(INDEX(Questionnaire!$T$8:$T$119,MATCH(A58,Questionnaire!$A$8:$A$119,0))=0,INDEX(Questionnaire!$V$8:$V$119,MATCH(A58,Questionnaire!$A$8:$A$119,0))=1),"Vérifier la situation avec le référent ou le prestataire. Puis : ","")&amp;INDEX(Repères!$D$26:$D$137,MATCH(A58,Repères!$A$26:$A$137,0))))</f>
        <v>Vérifier la situation avec le référent ou le prestataire. Puis : Définir des seuils, une seconde validation si possible et une procédure d’exception.</v>
      </c>
      <c r="E58" s="12" t="s">
        <v>480</v>
      </c>
      <c r="F58" s="22"/>
      <c r="G58" s="23"/>
      <c r="H58" s="22" t="s">
        <v>481</v>
      </c>
      <c r="I58" s="22"/>
      <c r="J58" s="23"/>
      <c r="K58" s="25"/>
      <c r="L58" s="12" t="str">
        <f aca="true">IF(H58="Terminé",IF(OR(F58="",I58="",J58=""),"Clôture à documenter",IF(OR(C58="Maintenir",C58="Hors périmètre"),"Clôturé","Réévaluer le contrôle")),IF(C58="Hors périmètre","Hors périmètre",IF(C58="Maintenir","Maintenir",IF(F58="","Responsable à nommer",IF(G58="","Échéance à fixer",IF(G58&lt;TODAY(),"En retard",H58))))))</f>
        <v>Responsable à nommer</v>
      </c>
      <c r="M58" s="12" t="n">
        <f aca="false">INDEX(Questionnaire!$S$8:$S$119,MATCH(A58,Questionnaire!$A$8:$A$119,0))</f>
        <v>27</v>
      </c>
      <c r="N58" s="26" t="str">
        <f aca="false">IF(OR(Entreprise!$C$11="",C58="Maintenir",C58="Hors périmètre"),"",Entreprise!$C$11+INDEX(Barèmes!$G$7:$G$10,VALUE(RIGHT(C58,1))))</f>
        <v/>
      </c>
    </row>
    <row r="59" customFormat="false" ht="79.5" hidden="false" customHeight="true" outlineLevel="0" collapsed="false">
      <c r="A59" s="12" t="s">
        <v>280</v>
      </c>
      <c r="B59" s="12" t="s">
        <v>25</v>
      </c>
      <c r="C59" s="12" t="str">
        <f aca="false">INDEX(Questionnaire!$R$8:$R$119,MATCH(A59,Questionnaire!$A$8:$A$119,0))</f>
        <v>P3</v>
      </c>
      <c r="D59" s="12" t="str">
        <f aca="false">IF(C59="Hors périmètre","Contrôle exclu du parcours actif.",IF(C59="Maintenir","Conserver la preuve et programmer une nouvelle vérification.",IF(OR(INDEX(Questionnaire!$T$8:$T$119,MATCH(A59,Questionnaire!$A$8:$A$119,0))=0,INDEX(Questionnaire!$V$8:$V$119,MATCH(A59,Questionnaire!$A$8:$A$119,0))=1),"Vérifier la situation avec le référent ou le prestataire. Puis : ","")&amp;INDEX(Repères!$D$26:$D$137,MATCH(A59,Repères!$A$26:$A$137,0))))</f>
        <v>Vérifier la situation avec le référent ou le prestataire. Puis : Configurer progressivement l’authentification du domaine sans bloquer les envois légitimes.</v>
      </c>
      <c r="E59" s="12" t="s">
        <v>482</v>
      </c>
      <c r="F59" s="22"/>
      <c r="G59" s="23"/>
      <c r="H59" s="22" t="s">
        <v>481</v>
      </c>
      <c r="I59" s="22"/>
      <c r="J59" s="23"/>
      <c r="K59" s="25"/>
      <c r="L59" s="12" t="str">
        <f aca="true">IF(H59="Terminé",IF(OR(F59="",I59="",J59=""),"Clôture à documenter",IF(OR(C59="Maintenir",C59="Hors périmètre"),"Clôturé","Réévaluer le contrôle")),IF(C59="Hors périmètre","Hors périmètre",IF(C59="Maintenir","Maintenir",IF(F59="","Responsable à nommer",IF(G59="","Échéance à fixer",IF(G59&lt;TODAY(),"En retard",H59))))))</f>
        <v>Responsable à nommer</v>
      </c>
      <c r="M59" s="12" t="n">
        <f aca="false">INDEX(Questionnaire!$S$8:$S$119,MATCH(A59,Questionnaire!$A$8:$A$119,0))</f>
        <v>67</v>
      </c>
      <c r="N59" s="26" t="str">
        <f aca="false">IF(OR(Entreprise!$C$11="",C59="Maintenir",C59="Hors périmètre"),"",Entreprise!$C$11+INDEX(Barèmes!$G$7:$G$10,VALUE(RIGHT(C59,1))))</f>
        <v/>
      </c>
    </row>
    <row r="60" customFormat="false" ht="79.5" hidden="false" customHeight="true" outlineLevel="0" collapsed="false">
      <c r="A60" s="12" t="s">
        <v>283</v>
      </c>
      <c r="B60" s="12" t="s">
        <v>25</v>
      </c>
      <c r="C60" s="12" t="str">
        <f aca="false">INDEX(Questionnaire!$R$8:$R$119,MATCH(A60,Questionnaire!$A$8:$A$119,0))</f>
        <v>P2</v>
      </c>
      <c r="D60" s="12" t="str">
        <f aca="false">IF(C60="Hors périmètre","Contrôle exclu du parcours actif.",IF(C60="Maintenir","Conserver la preuve et programmer une nouvelle vérification.",IF(OR(INDEX(Questionnaire!$T$8:$T$119,MATCH(A60,Questionnaire!$A$8:$A$119,0))=0,INDEX(Questionnaire!$V$8:$V$119,MATCH(A60,Questionnaire!$A$8:$A$119,0))=1),"Vérifier la situation avec le référent ou le prestataire. Puis : ","")&amp;INDEX(Repères!$D$26:$D$137,MATCH(A60,Repères!$A$26:$A$137,0))))</f>
        <v>Vérifier la situation avec le référent ou le prestataire. Puis : Supprimer les règles inconnues et alerter sur les nouvelles redirections externes.</v>
      </c>
      <c r="E60" s="12" t="s">
        <v>480</v>
      </c>
      <c r="F60" s="22"/>
      <c r="G60" s="23"/>
      <c r="H60" s="22" t="s">
        <v>481</v>
      </c>
      <c r="I60" s="22"/>
      <c r="J60" s="23"/>
      <c r="K60" s="25"/>
      <c r="L60" s="12" t="str">
        <f aca="true">IF(H60="Terminé",IF(OR(F60="",I60="",J60=""),"Clôture à documenter",IF(OR(C60="Maintenir",C60="Hors périmètre"),"Clôturé","Réévaluer le contrôle")),IF(C60="Hors périmètre","Hors périmètre",IF(C60="Maintenir","Maintenir",IF(F60="","Responsable à nommer",IF(G60="","Échéance à fixer",IF(G60&lt;TODAY(),"En retard",H60))))))</f>
        <v>Responsable à nommer</v>
      </c>
      <c r="M60" s="12" t="n">
        <f aca="false">INDEX(Questionnaire!$S$8:$S$119,MATCH(A60,Questionnaire!$A$8:$A$119,0))</f>
        <v>28</v>
      </c>
      <c r="N60" s="26" t="str">
        <f aca="false">IF(OR(Entreprise!$C$11="",C60="Maintenir",C60="Hors périmètre"),"",Entreprise!$C$11+INDEX(Barèmes!$G$7:$G$10,VALUE(RIGHT(C60,1))))</f>
        <v/>
      </c>
    </row>
    <row r="61" customFormat="false" ht="79.5" hidden="false" customHeight="true" outlineLevel="0" collapsed="false">
      <c r="A61" s="12" t="s">
        <v>286</v>
      </c>
      <c r="B61" s="12" t="s">
        <v>25</v>
      </c>
      <c r="C61" s="12" t="str">
        <f aca="false">INDEX(Questionnaire!$R$8:$R$119,MATCH(A61,Questionnaire!$A$8:$A$119,0))</f>
        <v>P3</v>
      </c>
      <c r="D61" s="12" t="str">
        <f aca="false">IF(C61="Hors périmètre","Contrôle exclu du parcours actif.",IF(C61="Maintenir","Conserver la preuve et programmer une nouvelle vérification.",IF(OR(INDEX(Questionnaire!$T$8:$T$119,MATCH(A61,Questionnaire!$A$8:$A$119,0))=0,INDEX(Questionnaire!$V$8:$V$119,MATCH(A61,Questionnaire!$A$8:$A$119,0))=1),"Vérifier la situation avec le référent ou le prestataire. Puis : ","")&amp;INDEX(Repères!$D$26:$D$137,MATCH(A61,Repères!$A$26:$A$137,0))))</f>
        <v>Vérifier la situation avec le référent ou le prestataire. Puis : Définir une vérification hors du canal initial pour les demandes sensibles.</v>
      </c>
      <c r="E61" s="12" t="s">
        <v>480</v>
      </c>
      <c r="F61" s="22"/>
      <c r="G61" s="23"/>
      <c r="H61" s="22" t="s">
        <v>481</v>
      </c>
      <c r="I61" s="22"/>
      <c r="J61" s="23"/>
      <c r="K61" s="25"/>
      <c r="L61" s="12" t="str">
        <f aca="true">IF(H61="Terminé",IF(OR(F61="",I61="",J61=""),"Clôture à documenter",IF(OR(C61="Maintenir",C61="Hors périmètre"),"Clôturé","Réévaluer le contrôle")),IF(C61="Hors périmètre","Hors périmètre",IF(C61="Maintenir","Maintenir",IF(F61="","Responsable à nommer",IF(G61="","Échéance à fixer",IF(G61&lt;TODAY(),"En retard",H61))))))</f>
        <v>Responsable à nommer</v>
      </c>
      <c r="M61" s="12" t="n">
        <f aca="false">INDEX(Questionnaire!$S$8:$S$119,MATCH(A61,Questionnaire!$A$8:$A$119,0))</f>
        <v>68</v>
      </c>
      <c r="N61" s="26" t="str">
        <f aca="false">IF(OR(Entreprise!$C$11="",C61="Maintenir",C61="Hors périmètre"),"",Entreprise!$C$11+INDEX(Barèmes!$G$7:$G$10,VALUE(RIGHT(C61,1))))</f>
        <v/>
      </c>
    </row>
    <row r="62" customFormat="false" ht="79.5" hidden="false" customHeight="true" outlineLevel="0" collapsed="false">
      <c r="A62" s="12" t="s">
        <v>289</v>
      </c>
      <c r="B62" s="12" t="s">
        <v>25</v>
      </c>
      <c r="C62" s="12" t="str">
        <f aca="false">INDEX(Questionnaire!$R$8:$R$119,MATCH(A62,Questionnaire!$A$8:$A$119,0))</f>
        <v>P3</v>
      </c>
      <c r="D62" s="12" t="str">
        <f aca="false">IF(C62="Hors périmètre","Contrôle exclu du parcours actif.",IF(C62="Maintenir","Conserver la preuve et programmer une nouvelle vérification.",IF(OR(INDEX(Questionnaire!$T$8:$T$119,MATCH(A62,Questionnaire!$A$8:$A$119,0))=0,INDEX(Questionnaire!$V$8:$V$119,MATCH(A62,Questionnaire!$A$8:$A$119,0))=1),"Vérifier la situation avec le référent ou le prestataire. Puis : ","")&amp;INDEX(Repères!$D$26:$D$137,MATCH(A62,Repères!$A$26:$A$137,0))))</f>
        <v>Vérifier la situation avec le référent ou le prestataire. Puis : Faire vérifier les protections Office et éviter l’activation de contenu à la demande d’un expéditeur.</v>
      </c>
      <c r="E62" s="12" t="s">
        <v>482</v>
      </c>
      <c r="F62" s="22"/>
      <c r="G62" s="23"/>
      <c r="H62" s="22" t="s">
        <v>481</v>
      </c>
      <c r="I62" s="22"/>
      <c r="J62" s="23"/>
      <c r="K62" s="25"/>
      <c r="L62" s="12" t="str">
        <f aca="true">IF(H62="Terminé",IF(OR(F62="",I62="",J62=""),"Clôture à documenter",IF(OR(C62="Maintenir",C62="Hors périmètre"),"Clôturé","Réévaluer le contrôle")),IF(C62="Hors périmètre","Hors périmètre",IF(C62="Maintenir","Maintenir",IF(F62="","Responsable à nommer",IF(G62="","Échéance à fixer",IF(G62&lt;TODAY(),"En retard",H62))))))</f>
        <v>Responsable à nommer</v>
      </c>
      <c r="M62" s="12" t="n">
        <f aca="false">INDEX(Questionnaire!$S$8:$S$119,MATCH(A62,Questionnaire!$A$8:$A$119,0))</f>
        <v>69</v>
      </c>
      <c r="N62" s="26" t="str">
        <f aca="false">IF(OR(Entreprise!$C$11="",C62="Maintenir",C62="Hors périmètre"),"",Entreprise!$C$11+INDEX(Barèmes!$G$7:$G$10,VALUE(RIGHT(C62,1))))</f>
        <v/>
      </c>
    </row>
    <row r="63" customFormat="false" ht="79.5" hidden="false" customHeight="true" outlineLevel="0" collapsed="false">
      <c r="A63" s="12" t="s">
        <v>292</v>
      </c>
      <c r="B63" s="12" t="s">
        <v>25</v>
      </c>
      <c r="C63" s="12" t="str">
        <f aca="false">INDEX(Questionnaire!$R$8:$R$119,MATCH(A63,Questionnaire!$A$8:$A$119,0))</f>
        <v>P3</v>
      </c>
      <c r="D63" s="12" t="str">
        <f aca="false">IF(C63="Hors périmètre","Contrôle exclu du parcours actif.",IF(C63="Maintenir","Conserver la preuve et programmer une nouvelle vérification.",IF(OR(INDEX(Questionnaire!$T$8:$T$119,MATCH(A63,Questionnaire!$A$8:$A$119,0))=0,INDEX(Questionnaire!$V$8:$V$119,MATCH(A63,Questionnaire!$A$8:$A$119,0))=1),"Vérifier la situation avec le référent ou le prestataire. Puis : ","")&amp;INDEX(Repères!$D$26:$D$137,MATCH(A63,Repères!$A$26:$A$137,0))))</f>
        <v>Vérifier la situation avec le référent ou le prestataire. Puis : Formaliser le contrôle des factures modifiées et des demandes de remboursement.</v>
      </c>
      <c r="E63" s="12" t="s">
        <v>480</v>
      </c>
      <c r="F63" s="22"/>
      <c r="G63" s="23"/>
      <c r="H63" s="22" t="s">
        <v>481</v>
      </c>
      <c r="I63" s="22"/>
      <c r="J63" s="23"/>
      <c r="K63" s="25"/>
      <c r="L63" s="12" t="str">
        <f aca="true">IF(H63="Terminé",IF(OR(F63="",I63="",J63=""),"Clôture à documenter",IF(OR(C63="Maintenir",C63="Hors périmètre"),"Clôturé","Réévaluer le contrôle")),IF(C63="Hors périmètre","Hors périmètre",IF(C63="Maintenir","Maintenir",IF(F63="","Responsable à nommer",IF(G63="","Échéance à fixer",IF(G63&lt;TODAY(),"En retard",H63))))))</f>
        <v>Responsable à nommer</v>
      </c>
      <c r="M63" s="12" t="n">
        <f aca="false">INDEX(Questionnaire!$S$8:$S$119,MATCH(A63,Questionnaire!$A$8:$A$119,0))</f>
        <v>70</v>
      </c>
      <c r="N63" s="26" t="str">
        <f aca="false">IF(OR(Entreprise!$C$11="",C63="Maintenir",C63="Hors périmètre"),"",Entreprise!$C$11+INDEX(Barèmes!$G$7:$G$10,VALUE(RIGHT(C63,1))))</f>
        <v/>
      </c>
    </row>
    <row r="64" customFormat="false" ht="79.5" hidden="false" customHeight="true" outlineLevel="0" collapsed="false">
      <c r="A64" s="12" t="s">
        <v>295</v>
      </c>
      <c r="B64" s="12" t="s">
        <v>26</v>
      </c>
      <c r="C64" s="12" t="str">
        <f aca="false">INDEX(Questionnaire!$R$8:$R$119,MATCH(A64,Questionnaire!$A$8:$A$119,0))</f>
        <v>P1</v>
      </c>
      <c r="D64" s="12" t="str">
        <f aca="false">IF(C64="Hors périmètre","Contrôle exclu du parcours actif.",IF(C64="Maintenir","Conserver la preuve et programmer une nouvelle vérification.",IF(OR(INDEX(Questionnaire!$T$8:$T$119,MATCH(A64,Questionnaire!$A$8:$A$119,0))=0,INDEX(Questionnaire!$V$8:$V$119,MATCH(A64,Questionnaire!$A$8:$A$119,0))=1),"Vérifier la situation avec le référent ou le prestataire. Puis : ","")&amp;INDEX(Repères!$D$26:$D$137,MATCH(A64,Repères!$A$26:$A$137,0))))</f>
        <v>Vérifier la situation avec le référent ou le prestataire. Puis : Mettre en place des sauvegardes couvrant toutes les données vitales selon la perte acceptable.</v>
      </c>
      <c r="E64" s="12" t="s">
        <v>482</v>
      </c>
      <c r="F64" s="22"/>
      <c r="G64" s="23"/>
      <c r="H64" s="22" t="s">
        <v>481</v>
      </c>
      <c r="I64" s="22"/>
      <c r="J64" s="23"/>
      <c r="K64" s="25"/>
      <c r="L64" s="12" t="str">
        <f aca="true">IF(H64="Terminé",IF(OR(F64="",I64="",J64=""),"Clôture à documenter",IF(OR(C64="Maintenir",C64="Hors périmètre"),"Clôturé","Réévaluer le contrôle")),IF(C64="Hors périmètre","Hors périmètre",IF(C64="Maintenir","Maintenir",IF(F64="","Responsable à nommer",IF(G64="","Échéance à fixer",IF(G64&lt;TODAY(),"En retard",H64))))))</f>
        <v>Responsable à nommer</v>
      </c>
      <c r="M64" s="12" t="n">
        <f aca="false">INDEX(Questionnaire!$S$8:$S$119,MATCH(A64,Questionnaire!$A$8:$A$119,0))</f>
        <v>12</v>
      </c>
      <c r="N64" s="26" t="str">
        <f aca="false">IF(OR(Entreprise!$C$11="",C64="Maintenir",C64="Hors périmètre"),"",Entreprise!$C$11+INDEX(Barèmes!$G$7:$G$10,VALUE(RIGHT(C64,1))))</f>
        <v/>
      </c>
    </row>
    <row r="65" customFormat="false" ht="79.5" hidden="false" customHeight="true" outlineLevel="0" collapsed="false">
      <c r="A65" s="12" t="s">
        <v>298</v>
      </c>
      <c r="B65" s="12" t="s">
        <v>26</v>
      </c>
      <c r="C65" s="12" t="str">
        <f aca="false">INDEX(Questionnaire!$R$8:$R$119,MATCH(A65,Questionnaire!$A$8:$A$119,0))</f>
        <v>P1</v>
      </c>
      <c r="D65" s="12" t="str">
        <f aca="false">IF(C65="Hors périmètre","Contrôle exclu du parcours actif.",IF(C65="Maintenir","Conserver la preuve et programmer une nouvelle vérification.",IF(OR(INDEX(Questionnaire!$T$8:$T$119,MATCH(A65,Questionnaire!$A$8:$A$119,0))=0,INDEX(Questionnaire!$V$8:$V$119,MATCH(A65,Questionnaire!$A$8:$A$119,0))=1),"Vérifier la situation avec le référent ou le prestataire. Puis : ","")&amp;INDEX(Repères!$D$26:$D$137,MATCH(A65,Repères!$A$26:$A$137,0))))</f>
        <v>Vérifier la situation avec le référent ou le prestataire. Puis : Créer une copie hors d’atteinte des comptes de production et contrôler son isolement.</v>
      </c>
      <c r="E65" s="12" t="s">
        <v>482</v>
      </c>
      <c r="F65" s="22"/>
      <c r="G65" s="23"/>
      <c r="H65" s="22" t="s">
        <v>481</v>
      </c>
      <c r="I65" s="22"/>
      <c r="J65" s="23"/>
      <c r="K65" s="25"/>
      <c r="L65" s="12" t="str">
        <f aca="true">IF(H65="Terminé",IF(OR(F65="",I65="",J65=""),"Clôture à documenter",IF(OR(C65="Maintenir",C65="Hors périmètre"),"Clôturé","Réévaluer le contrôle")),IF(C65="Hors périmètre","Hors périmètre",IF(C65="Maintenir","Maintenir",IF(F65="","Responsable à nommer",IF(G65="","Échéance à fixer",IF(G65&lt;TODAY(),"En retard",H65))))))</f>
        <v>Responsable à nommer</v>
      </c>
      <c r="M65" s="12" t="n">
        <f aca="false">INDEX(Questionnaire!$S$8:$S$119,MATCH(A65,Questionnaire!$A$8:$A$119,0))</f>
        <v>13</v>
      </c>
      <c r="N65" s="26" t="str">
        <f aca="false">IF(OR(Entreprise!$C$11="",C65="Maintenir",C65="Hors périmètre"),"",Entreprise!$C$11+INDEX(Barèmes!$G$7:$G$10,VALUE(RIGHT(C65,1))))</f>
        <v/>
      </c>
    </row>
    <row r="66" customFormat="false" ht="79.5" hidden="false" customHeight="true" outlineLevel="0" collapsed="false">
      <c r="A66" s="12" t="s">
        <v>301</v>
      </c>
      <c r="B66" s="12" t="s">
        <v>26</v>
      </c>
      <c r="C66" s="12" t="str">
        <f aca="false">INDEX(Questionnaire!$R$8:$R$119,MATCH(A66,Questionnaire!$A$8:$A$119,0))</f>
        <v>P1</v>
      </c>
      <c r="D66" s="12" t="str">
        <f aca="false">IF(C66="Hors périmètre","Contrôle exclu du parcours actif.",IF(C66="Maintenir","Conserver la preuve et programmer une nouvelle vérification.",IF(OR(INDEX(Questionnaire!$T$8:$T$119,MATCH(A66,Questionnaire!$A$8:$A$119,0))=0,INDEX(Questionnaire!$V$8:$V$119,MATCH(A66,Questionnaire!$A$8:$A$119,0))=1),"Vérifier la situation avec le référent ou le prestataire. Puis : ","")&amp;INDEX(Repères!$D$26:$D$137,MATCH(A66,Repères!$A$26:$A$137,0))))</f>
        <v>Vérifier la situation avec le référent ou le prestataire. Puis : Restaurer un échantillon représentatif dans un environnement sûr et consigner le résultat.</v>
      </c>
      <c r="E66" s="12" t="s">
        <v>482</v>
      </c>
      <c r="F66" s="22"/>
      <c r="G66" s="23"/>
      <c r="H66" s="22" t="s">
        <v>481</v>
      </c>
      <c r="I66" s="22"/>
      <c r="J66" s="23"/>
      <c r="K66" s="25"/>
      <c r="L66" s="12" t="str">
        <f aca="true">IF(H66="Terminé",IF(OR(F66="",I66="",J66=""),"Clôture à documenter",IF(OR(C66="Maintenir",C66="Hors périmètre"),"Clôturé","Réévaluer le contrôle")),IF(C66="Hors périmètre","Hors périmètre",IF(C66="Maintenir","Maintenir",IF(F66="","Responsable à nommer",IF(G66="","Échéance à fixer",IF(G66&lt;TODAY(),"En retard",H66))))))</f>
        <v>Responsable à nommer</v>
      </c>
      <c r="M66" s="12" t="n">
        <f aca="false">INDEX(Questionnaire!$S$8:$S$119,MATCH(A66,Questionnaire!$A$8:$A$119,0))</f>
        <v>14</v>
      </c>
      <c r="N66" s="26" t="str">
        <f aca="false">IF(OR(Entreprise!$C$11="",C66="Maintenir",C66="Hors périmètre"),"",Entreprise!$C$11+INDEX(Barèmes!$G$7:$G$10,VALUE(RIGHT(C66,1))))</f>
        <v/>
      </c>
    </row>
    <row r="67" customFormat="false" ht="79.5" hidden="false" customHeight="true" outlineLevel="0" collapsed="false">
      <c r="A67" s="12" t="s">
        <v>304</v>
      </c>
      <c r="B67" s="12" t="s">
        <v>26</v>
      </c>
      <c r="C67" s="12" t="str">
        <f aca="false">INDEX(Questionnaire!$R$8:$R$119,MATCH(A67,Questionnaire!$A$8:$A$119,0))</f>
        <v>P2</v>
      </c>
      <c r="D67" s="12" t="str">
        <f aca="false">IF(C67="Hors périmètre","Contrôle exclu du parcours actif.",IF(C67="Maintenir","Conserver la preuve et programmer une nouvelle vérification.",IF(OR(INDEX(Questionnaire!$T$8:$T$119,MATCH(A67,Questionnaire!$A$8:$A$119,0))=0,INDEX(Questionnaire!$V$8:$V$119,MATCH(A67,Questionnaire!$A$8:$A$119,0))=1),"Vérifier la situation avec le référent ou le prestataire. Puis : ","")&amp;INDEX(Repères!$D$26:$D$137,MATCH(A67,Repères!$A$26:$A$137,0))))</f>
        <v>Vérifier la situation avec le référent ou le prestataire. Puis : Mettre en place une alerte de défaut et un contrôle régulier des sauvegardes.</v>
      </c>
      <c r="E67" s="12" t="s">
        <v>480</v>
      </c>
      <c r="F67" s="22"/>
      <c r="G67" s="23"/>
      <c r="H67" s="22" t="s">
        <v>481</v>
      </c>
      <c r="I67" s="22"/>
      <c r="J67" s="23"/>
      <c r="K67" s="25"/>
      <c r="L67" s="12" t="str">
        <f aca="true">IF(H67="Terminé",IF(OR(F67="",I67="",J67=""),"Clôture à documenter",IF(OR(C67="Maintenir",C67="Hors périmètre"),"Clôturé","Réévaluer le contrôle")),IF(C67="Hors périmètre","Hors périmètre",IF(C67="Maintenir","Maintenir",IF(F67="","Responsable à nommer",IF(G67="","Échéance à fixer",IF(G67&lt;TODAY(),"En retard",H67))))))</f>
        <v>Responsable à nommer</v>
      </c>
      <c r="M67" s="12" t="n">
        <f aca="false">INDEX(Questionnaire!$S$8:$S$119,MATCH(A67,Questionnaire!$A$8:$A$119,0))</f>
        <v>29</v>
      </c>
      <c r="N67" s="26" t="str">
        <f aca="false">IF(OR(Entreprise!$C$11="",C67="Maintenir",C67="Hors périmètre"),"",Entreprise!$C$11+INDEX(Barèmes!$G$7:$G$10,VALUE(RIGHT(C67,1))))</f>
        <v/>
      </c>
    </row>
    <row r="68" customFormat="false" ht="79.5" hidden="false" customHeight="true" outlineLevel="0" collapsed="false">
      <c r="A68" s="12" t="s">
        <v>307</v>
      </c>
      <c r="B68" s="12" t="s">
        <v>26</v>
      </c>
      <c r="C68" s="12" t="str">
        <f aca="false">INDEX(Questionnaire!$R$8:$R$119,MATCH(A68,Questionnaire!$A$8:$A$119,0))</f>
        <v>P3</v>
      </c>
      <c r="D68" s="12" t="str">
        <f aca="false">IF(C68="Hors périmètre","Contrôle exclu du parcours actif.",IF(C68="Maintenir","Conserver la preuve et programmer une nouvelle vérification.",IF(OR(INDEX(Questionnaire!$T$8:$T$119,MATCH(A68,Questionnaire!$A$8:$A$119,0))=0,INDEX(Questionnaire!$V$8:$V$119,MATCH(A68,Questionnaire!$A$8:$A$119,0))=1),"Vérifier la situation avec le référent ou le prestataire. Puis : ","")&amp;INDEX(Repères!$D$26:$D$137,MATCH(A68,Repères!$A$26:$A$137,0))))</f>
        <v>Vérifier la situation avec le référent ou le prestataire. Puis : Organiser une copie externalisée sécurisée. La règle 3-2-1 n’assure pas à elle seule l’isolement cyber.</v>
      </c>
      <c r="E68" s="12" t="s">
        <v>482</v>
      </c>
      <c r="F68" s="22"/>
      <c r="G68" s="23"/>
      <c r="H68" s="22" t="s">
        <v>481</v>
      </c>
      <c r="I68" s="22"/>
      <c r="J68" s="23"/>
      <c r="K68" s="25"/>
      <c r="L68" s="12" t="str">
        <f aca="true">IF(H68="Terminé",IF(OR(F68="",I68="",J68=""),"Clôture à documenter",IF(OR(C68="Maintenir",C68="Hors périmètre"),"Clôturé","Réévaluer le contrôle")),IF(C68="Hors périmètre","Hors périmètre",IF(C68="Maintenir","Maintenir",IF(F68="","Responsable à nommer",IF(G68="","Échéance à fixer",IF(G68&lt;TODAY(),"En retard",H68))))))</f>
        <v>Responsable à nommer</v>
      </c>
      <c r="M68" s="12" t="n">
        <f aca="false">INDEX(Questionnaire!$S$8:$S$119,MATCH(A68,Questionnaire!$A$8:$A$119,0))</f>
        <v>71</v>
      </c>
      <c r="N68" s="26" t="str">
        <f aca="false">IF(OR(Entreprise!$C$11="",C68="Maintenir",C68="Hors périmètre"),"",Entreprise!$C$11+INDEX(Barèmes!$G$7:$G$10,VALUE(RIGHT(C68,1))))</f>
        <v/>
      </c>
    </row>
    <row r="69" customFormat="false" ht="79.5" hidden="false" customHeight="true" outlineLevel="0" collapsed="false">
      <c r="A69" s="12" t="s">
        <v>310</v>
      </c>
      <c r="B69" s="12" t="s">
        <v>26</v>
      </c>
      <c r="C69" s="12" t="str">
        <f aca="false">INDEX(Questionnaire!$R$8:$R$119,MATCH(A69,Questionnaire!$A$8:$A$119,0))</f>
        <v>P3</v>
      </c>
      <c r="D69" s="12" t="str">
        <f aca="false">IF(C69="Hors périmètre","Contrôle exclu du parcours actif.",IF(C69="Maintenir","Conserver la preuve et programmer une nouvelle vérification.",IF(OR(INDEX(Questionnaire!$T$8:$T$119,MATCH(A69,Questionnaire!$A$8:$A$119,0))=0,INDEX(Questionnaire!$V$8:$V$119,MATCH(A69,Questionnaire!$A$8:$A$119,0))=1),"Vérifier la situation avec le référent ou le prestataire. Puis : ","")&amp;INDEX(Repères!$D$26:$D$137,MATCH(A69,Repères!$A$26:$A$137,0))))</f>
        <v>Vérifier la situation avec le référent ou le prestataire. Puis : Séparer les identités de sauvegarde des comptes d’usage et d’administration courante.</v>
      </c>
      <c r="E69" s="12" t="s">
        <v>482</v>
      </c>
      <c r="F69" s="22"/>
      <c r="G69" s="23"/>
      <c r="H69" s="22" t="s">
        <v>481</v>
      </c>
      <c r="I69" s="22"/>
      <c r="J69" s="23"/>
      <c r="K69" s="25"/>
      <c r="L69" s="12" t="str">
        <f aca="true">IF(H69="Terminé",IF(OR(F69="",I69="",J69=""),"Clôture à documenter",IF(OR(C69="Maintenir",C69="Hors périmètre"),"Clôturé","Réévaluer le contrôle")),IF(C69="Hors périmètre","Hors périmètre",IF(C69="Maintenir","Maintenir",IF(F69="","Responsable à nommer",IF(G69="","Échéance à fixer",IF(G69&lt;TODAY(),"En retard",H69))))))</f>
        <v>Responsable à nommer</v>
      </c>
      <c r="M69" s="12" t="n">
        <f aca="false">INDEX(Questionnaire!$S$8:$S$119,MATCH(A69,Questionnaire!$A$8:$A$119,0))</f>
        <v>72</v>
      </c>
      <c r="N69" s="26" t="str">
        <f aca="false">IF(OR(Entreprise!$C$11="",C69="Maintenir",C69="Hors périmètre"),"",Entreprise!$C$11+INDEX(Barèmes!$G$7:$G$10,VALUE(RIGHT(C69,1))))</f>
        <v/>
      </c>
    </row>
    <row r="70" customFormat="false" ht="79.5" hidden="false" customHeight="true" outlineLevel="0" collapsed="false">
      <c r="A70" s="12" t="s">
        <v>313</v>
      </c>
      <c r="B70" s="12" t="s">
        <v>26</v>
      </c>
      <c r="C70" s="12" t="str">
        <f aca="false">INDEX(Questionnaire!$R$8:$R$119,MATCH(A70,Questionnaire!$A$8:$A$119,0))</f>
        <v>P3</v>
      </c>
      <c r="D70" s="12" t="str">
        <f aca="false">IF(C70="Hors périmètre","Contrôle exclu du parcours actif.",IF(C70="Maintenir","Conserver la preuve et programmer une nouvelle vérification.",IF(OR(INDEX(Questionnaire!$T$8:$T$119,MATCH(A70,Questionnaire!$A$8:$A$119,0))=0,INDEX(Questionnaire!$V$8:$V$119,MATCH(A70,Questionnaire!$A$8:$A$119,0))=1),"Vérifier la situation avec le référent ou le prestataire. Puis : ","")&amp;INDEX(Repères!$D$26:$D$137,MATCH(A70,Repères!$A$26:$A$137,0))))</f>
        <v>Vérifier la situation avec le référent ou le prestataire. Puis : Vérifier les possibilités de restauration des mails, fichiers et logiciels en ligne.</v>
      </c>
      <c r="E70" s="12" t="s">
        <v>482</v>
      </c>
      <c r="F70" s="22"/>
      <c r="G70" s="23"/>
      <c r="H70" s="22" t="s">
        <v>481</v>
      </c>
      <c r="I70" s="22"/>
      <c r="J70" s="23"/>
      <c r="K70" s="25"/>
      <c r="L70" s="12" t="str">
        <f aca="true">IF(H70="Terminé",IF(OR(F70="",I70="",J70=""),"Clôture à documenter",IF(OR(C70="Maintenir",C70="Hors périmètre"),"Clôturé","Réévaluer le contrôle")),IF(C70="Hors périmètre","Hors périmètre",IF(C70="Maintenir","Maintenir",IF(F70="","Responsable à nommer",IF(G70="","Échéance à fixer",IF(G70&lt;TODAY(),"En retard",H70))))))</f>
        <v>Responsable à nommer</v>
      </c>
      <c r="M70" s="12" t="n">
        <f aca="false">INDEX(Questionnaire!$S$8:$S$119,MATCH(A70,Questionnaire!$A$8:$A$119,0))</f>
        <v>73</v>
      </c>
      <c r="N70" s="26" t="str">
        <f aca="false">IF(OR(Entreprise!$C$11="",C70="Maintenir",C70="Hors périmètre"),"",Entreprise!$C$11+INDEX(Barèmes!$G$7:$G$10,VALUE(RIGHT(C70,1))))</f>
        <v/>
      </c>
    </row>
    <row r="71" customFormat="false" ht="79.5" hidden="false" customHeight="true" outlineLevel="0" collapsed="false">
      <c r="A71" s="12" t="s">
        <v>316</v>
      </c>
      <c r="B71" s="12" t="s">
        <v>26</v>
      </c>
      <c r="C71" s="12" t="str">
        <f aca="false">INDEX(Questionnaire!$R$8:$R$119,MATCH(A71,Questionnaire!$A$8:$A$119,0))</f>
        <v>P3</v>
      </c>
      <c r="D71" s="12" t="str">
        <f aca="false">IF(C71="Hors périmètre","Contrôle exclu du parcours actif.",IF(C71="Maintenir","Conserver la preuve et programmer une nouvelle vérification.",IF(OR(INDEX(Questionnaire!$T$8:$T$119,MATCH(A71,Questionnaire!$A$8:$A$119,0))=0,INDEX(Questionnaire!$V$8:$V$119,MATCH(A71,Questionnaire!$A$8:$A$119,0))=1),"Vérifier la situation avec le référent ou le prestataire. Puis : ","")&amp;INDEX(Repères!$D$26:$D$137,MATCH(A71,Repères!$A$26:$A$137,0))))</f>
        <v>Vérifier la situation avec le référent ou le prestataire. Puis : Définir la rétention et sauvegarder ce qui permet de reconstruire les applications.</v>
      </c>
      <c r="E71" s="12" t="s">
        <v>482</v>
      </c>
      <c r="F71" s="22"/>
      <c r="G71" s="23"/>
      <c r="H71" s="22" t="s">
        <v>481</v>
      </c>
      <c r="I71" s="22"/>
      <c r="J71" s="23"/>
      <c r="K71" s="25"/>
      <c r="L71" s="12" t="str">
        <f aca="true">IF(H71="Terminé",IF(OR(F71="",I71="",J71=""),"Clôture à documenter",IF(OR(C71="Maintenir",C71="Hors périmètre"),"Clôturé","Réévaluer le contrôle")),IF(C71="Hors périmètre","Hors périmètre",IF(C71="Maintenir","Maintenir",IF(F71="","Responsable à nommer",IF(G71="","Échéance à fixer",IF(G71&lt;TODAY(),"En retard",H71))))))</f>
        <v>Responsable à nommer</v>
      </c>
      <c r="M71" s="12" t="n">
        <f aca="false">INDEX(Questionnaire!$S$8:$S$119,MATCH(A71,Questionnaire!$A$8:$A$119,0))</f>
        <v>74</v>
      </c>
      <c r="N71" s="26" t="str">
        <f aca="false">IF(OR(Entreprise!$C$11="",C71="Maintenir",C71="Hors périmètre"),"",Entreprise!$C$11+INDEX(Barèmes!$G$7:$G$10,VALUE(RIGHT(C71,1))))</f>
        <v/>
      </c>
    </row>
    <row r="72" customFormat="false" ht="79.5" hidden="false" customHeight="true" outlineLevel="0" collapsed="false">
      <c r="A72" s="12" t="s">
        <v>319</v>
      </c>
      <c r="B72" s="12" t="s">
        <v>27</v>
      </c>
      <c r="C72" s="12" t="str">
        <f aca="false">INDEX(Questionnaire!$R$8:$R$119,MATCH(A72,Questionnaire!$A$8:$A$119,0))</f>
        <v>P2</v>
      </c>
      <c r="D72" s="12" t="str">
        <f aca="false">IF(C72="Hors périmètre","Contrôle exclu du parcours actif.",IF(C72="Maintenir","Conserver la preuve et programmer une nouvelle vérification.",IF(OR(INDEX(Questionnaire!$T$8:$T$119,MATCH(A72,Questionnaire!$A$8:$A$119,0))=0,INDEX(Questionnaire!$V$8:$V$119,MATCH(A72,Questionnaire!$A$8:$A$119,0))=1),"Vérifier la situation avec le référent ou le prestataire. Puis : ","")&amp;INDEX(Repères!$D$26:$D$137,MATCH(A72,Repères!$A$26:$A$137,0))))</f>
        <v>Vérifier la situation avec le référent ou le prestataire. Puis : Classer simplement les données et identifier celles qui nécessitent une protection renforcée.</v>
      </c>
      <c r="E72" s="12" t="s">
        <v>480</v>
      </c>
      <c r="F72" s="22"/>
      <c r="G72" s="23"/>
      <c r="H72" s="22" t="s">
        <v>481</v>
      </c>
      <c r="I72" s="22"/>
      <c r="J72" s="23"/>
      <c r="K72" s="25"/>
      <c r="L72" s="12" t="str">
        <f aca="true">IF(H72="Terminé",IF(OR(F72="",I72="",J72=""),"Clôture à documenter",IF(OR(C72="Maintenir",C72="Hors périmètre"),"Clôturé","Réévaluer le contrôle")),IF(C72="Hors périmètre","Hors périmètre",IF(C72="Maintenir","Maintenir",IF(F72="","Responsable à nommer",IF(G72="","Échéance à fixer",IF(G72&lt;TODAY(),"En retard",H72))))))</f>
        <v>Responsable à nommer</v>
      </c>
      <c r="M72" s="12" t="n">
        <f aca="false">INDEX(Questionnaire!$S$8:$S$119,MATCH(A72,Questionnaire!$A$8:$A$119,0))</f>
        <v>30</v>
      </c>
      <c r="N72" s="26" t="str">
        <f aca="false">IF(OR(Entreprise!$C$11="",C72="Maintenir",C72="Hors périmètre"),"",Entreprise!$C$11+INDEX(Barèmes!$G$7:$G$10,VALUE(RIGHT(C72,1))))</f>
        <v/>
      </c>
    </row>
    <row r="73" customFormat="false" ht="79.5" hidden="false" customHeight="true" outlineLevel="0" collapsed="false">
      <c r="A73" s="12" t="s">
        <v>322</v>
      </c>
      <c r="B73" s="12" t="s">
        <v>27</v>
      </c>
      <c r="C73" s="12" t="str">
        <f aca="false">INDEX(Questionnaire!$R$8:$R$119,MATCH(A73,Questionnaire!$A$8:$A$119,0))</f>
        <v>P2</v>
      </c>
      <c r="D73" s="12" t="str">
        <f aca="false">IF(C73="Hors périmètre","Contrôle exclu du parcours actif.",IF(C73="Maintenir","Conserver la preuve et programmer une nouvelle vérification.",IF(OR(INDEX(Questionnaire!$T$8:$T$119,MATCH(A73,Questionnaire!$A$8:$A$119,0))=0,INDEX(Questionnaire!$V$8:$V$119,MATCH(A73,Questionnaire!$A$8:$A$119,0))=1),"Vérifier la situation avec le référent ou le prestataire. Puis : ","")&amp;INDEX(Repères!$D$26:$D$137,MATCH(A73,Repères!$A$26:$A$137,0))))</f>
        <v>Vérifier la situation avec le référent ou le prestataire. Puis : Restreindre les partages aux destinataires utiles et supprimer les liens publics inutiles.</v>
      </c>
      <c r="E73" s="12" t="s">
        <v>482</v>
      </c>
      <c r="F73" s="22"/>
      <c r="G73" s="23"/>
      <c r="H73" s="22" t="s">
        <v>481</v>
      </c>
      <c r="I73" s="22"/>
      <c r="J73" s="23"/>
      <c r="K73" s="25"/>
      <c r="L73" s="12" t="str">
        <f aca="true">IF(H73="Terminé",IF(OR(F73="",I73="",J73=""),"Clôture à documenter",IF(OR(C73="Maintenir",C73="Hors périmètre"),"Clôturé","Réévaluer le contrôle")),IF(C73="Hors périmètre","Hors périmètre",IF(C73="Maintenir","Maintenir",IF(F73="","Responsable à nommer",IF(G73="","Échéance à fixer",IF(G73&lt;TODAY(),"En retard",H73))))))</f>
        <v>Responsable à nommer</v>
      </c>
      <c r="M73" s="12" t="n">
        <f aca="false">INDEX(Questionnaire!$S$8:$S$119,MATCH(A73,Questionnaire!$A$8:$A$119,0))</f>
        <v>31</v>
      </c>
      <c r="N73" s="26" t="str">
        <f aca="false">IF(OR(Entreprise!$C$11="",C73="Maintenir",C73="Hors périmètre"),"",Entreprise!$C$11+INDEX(Barèmes!$G$7:$G$10,VALUE(RIGHT(C73,1))))</f>
        <v/>
      </c>
    </row>
    <row r="74" customFormat="false" ht="79.5" hidden="false" customHeight="true" outlineLevel="0" collapsed="false">
      <c r="A74" s="12" t="s">
        <v>325</v>
      </c>
      <c r="B74" s="12" t="s">
        <v>27</v>
      </c>
      <c r="C74" s="12" t="str">
        <f aca="false">INDEX(Questionnaire!$R$8:$R$119,MATCH(A74,Questionnaire!$A$8:$A$119,0))</f>
        <v>P3</v>
      </c>
      <c r="D74" s="12" t="str">
        <f aca="false">IF(C74="Hors périmètre","Contrôle exclu du parcours actif.",IF(C74="Maintenir","Conserver la preuve et programmer une nouvelle vérification.",IF(OR(INDEX(Questionnaire!$T$8:$T$119,MATCH(A74,Questionnaire!$A$8:$A$119,0))=0,INDEX(Questionnaire!$V$8:$V$119,MATCH(A74,Questionnaire!$A$8:$A$119,0))=1),"Vérifier la situation avec le référent ou le prestataire. Puis : ","")&amp;INDEX(Repères!$D$26:$D$137,MATCH(A74,Repères!$A$26:$A$137,0))))</f>
        <v>Vérifier la situation avec le référent ou le prestataire. Puis : Utiliser un partage sécurisé et vérifier le destinataire avant envoi.</v>
      </c>
      <c r="E74" s="12" t="s">
        <v>480</v>
      </c>
      <c r="F74" s="22"/>
      <c r="G74" s="23"/>
      <c r="H74" s="22" t="s">
        <v>481</v>
      </c>
      <c r="I74" s="22"/>
      <c r="J74" s="23"/>
      <c r="K74" s="25"/>
      <c r="L74" s="12" t="str">
        <f aca="true">IF(H74="Terminé",IF(OR(F74="",I74="",J74=""),"Clôture à documenter",IF(OR(C74="Maintenir",C74="Hors périmètre"),"Clôturé","Réévaluer le contrôle")),IF(C74="Hors périmètre","Hors périmètre",IF(C74="Maintenir","Maintenir",IF(F74="","Responsable à nommer",IF(G74="","Échéance à fixer",IF(G74&lt;TODAY(),"En retard",H74))))))</f>
        <v>Responsable à nommer</v>
      </c>
      <c r="M74" s="12" t="n">
        <f aca="false">INDEX(Questionnaire!$S$8:$S$119,MATCH(A74,Questionnaire!$A$8:$A$119,0))</f>
        <v>75</v>
      </c>
      <c r="N74" s="26" t="str">
        <f aca="false">IF(OR(Entreprise!$C$11="",C74="Maintenir",C74="Hors périmètre"),"",Entreprise!$C$11+INDEX(Barèmes!$G$7:$G$10,VALUE(RIGHT(C74,1))))</f>
        <v/>
      </c>
    </row>
    <row r="75" customFormat="false" ht="79.5" hidden="false" customHeight="true" outlineLevel="0" collapsed="false">
      <c r="A75" s="12" t="s">
        <v>328</v>
      </c>
      <c r="B75" s="12" t="s">
        <v>27</v>
      </c>
      <c r="C75" s="12" t="str">
        <f aca="false">INDEX(Questionnaire!$R$8:$R$119,MATCH(A75,Questionnaire!$A$8:$A$119,0))</f>
        <v>P3</v>
      </c>
      <c r="D75" s="12" t="str">
        <f aca="false">IF(C75="Hors périmètre","Contrôle exclu du parcours actif.",IF(C75="Maintenir","Conserver la preuve et programmer une nouvelle vérification.",IF(OR(INDEX(Questionnaire!$T$8:$T$119,MATCH(A75,Questionnaire!$A$8:$A$119,0))=0,INDEX(Questionnaire!$V$8:$V$119,MATCH(A75,Questionnaire!$A$8:$A$119,0))=1),"Vérifier la situation avec le référent ou le prestataire. Puis : ","")&amp;INDEX(Repères!$D$26:$D$137,MATCH(A75,Repères!$A$26:$A$137,0))))</f>
        <v>Vérifier la situation avec le référent ou le prestataire. Puis : Supprimer les copies inutiles et fixer les durées adaptées aux finalités et obligations.</v>
      </c>
      <c r="E75" s="12" t="s">
        <v>482</v>
      </c>
      <c r="F75" s="22"/>
      <c r="G75" s="23"/>
      <c r="H75" s="22" t="s">
        <v>481</v>
      </c>
      <c r="I75" s="22"/>
      <c r="J75" s="23"/>
      <c r="K75" s="25"/>
      <c r="L75" s="12" t="str">
        <f aca="true">IF(H75="Terminé",IF(OR(F75="",I75="",J75=""),"Clôture à documenter",IF(OR(C75="Maintenir",C75="Hors périmètre"),"Clôturé","Réévaluer le contrôle")),IF(C75="Hors périmètre","Hors périmètre",IF(C75="Maintenir","Maintenir",IF(F75="","Responsable à nommer",IF(G75="","Échéance à fixer",IF(G75&lt;TODAY(),"En retard",H75))))))</f>
        <v>Responsable à nommer</v>
      </c>
      <c r="M75" s="12" t="n">
        <f aca="false">INDEX(Questionnaire!$S$8:$S$119,MATCH(A75,Questionnaire!$A$8:$A$119,0))</f>
        <v>76</v>
      </c>
      <c r="N75" s="26" t="str">
        <f aca="false">IF(OR(Entreprise!$C$11="",C75="Maintenir",C75="Hors périmètre"),"",Entreprise!$C$11+INDEX(Barèmes!$G$7:$G$10,VALUE(RIGHT(C75,1))))</f>
        <v/>
      </c>
    </row>
    <row r="76" customFormat="false" ht="79.5" hidden="false" customHeight="true" outlineLevel="0" collapsed="false">
      <c r="A76" s="12" t="s">
        <v>331</v>
      </c>
      <c r="B76" s="12" t="s">
        <v>27</v>
      </c>
      <c r="C76" s="12" t="str">
        <f aca="false">INDEX(Questionnaire!$R$8:$R$119,MATCH(A76,Questionnaire!$A$8:$A$119,0))</f>
        <v>P3</v>
      </c>
      <c r="D76" s="12" t="str">
        <f aca="false">IF(C76="Hors périmètre","Contrôle exclu du parcours actif.",IF(C76="Maintenir","Conserver la preuve et programmer une nouvelle vérification.",IF(OR(INDEX(Questionnaire!$T$8:$T$119,MATCH(A76,Questionnaire!$A$8:$A$119,0))=0,INDEX(Questionnaire!$V$8:$V$119,MATCH(A76,Questionnaire!$A$8:$A$119,0))=1),"Vérifier la situation avec le référent ou le prestataire. Puis : ","")&amp;INDEX(Repères!$D$26:$D$137,MATCH(A76,Repères!$A$26:$A$137,0))))</f>
        <v>Vérifier la situation avec le référent ou le prestataire. Puis : Documenter les usages de données et les mesures de sécurité associées.</v>
      </c>
      <c r="E76" s="12" t="s">
        <v>482</v>
      </c>
      <c r="F76" s="22"/>
      <c r="G76" s="23"/>
      <c r="H76" s="22" t="s">
        <v>481</v>
      </c>
      <c r="I76" s="22"/>
      <c r="J76" s="23"/>
      <c r="K76" s="25"/>
      <c r="L76" s="12" t="str">
        <f aca="true">IF(H76="Terminé",IF(OR(F76="",I76="",J76=""),"Clôture à documenter",IF(OR(C76="Maintenir",C76="Hors périmètre"),"Clôturé","Réévaluer le contrôle")),IF(C76="Hors périmètre","Hors périmètre",IF(C76="Maintenir","Maintenir",IF(F76="","Responsable à nommer",IF(G76="","Échéance à fixer",IF(G76&lt;TODAY(),"En retard",H76))))))</f>
        <v>Responsable à nommer</v>
      </c>
      <c r="M76" s="12" t="n">
        <f aca="false">INDEX(Questionnaire!$S$8:$S$119,MATCH(A76,Questionnaire!$A$8:$A$119,0))</f>
        <v>77</v>
      </c>
      <c r="N76" s="26" t="str">
        <f aca="false">IF(OR(Entreprise!$C$11="",C76="Maintenir",C76="Hors périmètre"),"",Entreprise!$C$11+INDEX(Barèmes!$G$7:$G$10,VALUE(RIGHT(C76,1))))</f>
        <v/>
      </c>
    </row>
    <row r="77" customFormat="false" ht="79.5" hidden="false" customHeight="true" outlineLevel="0" collapsed="false">
      <c r="A77" s="12" t="s">
        <v>334</v>
      </c>
      <c r="B77" s="12" t="s">
        <v>27</v>
      </c>
      <c r="C77" s="12" t="str">
        <f aca="false">INDEX(Questionnaire!$R$8:$R$119,MATCH(A77,Questionnaire!$A$8:$A$119,0))</f>
        <v>P3</v>
      </c>
      <c r="D77" s="12" t="str">
        <f aca="false">IF(C77="Hors périmètre","Contrôle exclu du parcours actif.",IF(C77="Maintenir","Conserver la preuve et programmer une nouvelle vérification.",IF(OR(INDEX(Questionnaire!$T$8:$T$119,MATCH(A77,Questionnaire!$A$8:$A$119,0))=0,INDEX(Questionnaire!$V$8:$V$119,MATCH(A77,Questionnaire!$A$8:$A$119,0))=1),"Vérifier la situation avec le référent ou le prestataire. Puis : ","")&amp;INDEX(Repères!$D$26:$D$137,MATCH(A77,Repères!$A$26:$A$137,0))))</f>
        <v>Vérifier la situation avec le référent ou le prestataire. Puis : Limiter la diffusion des plans, recettes, études et dossiers clients.</v>
      </c>
      <c r="E77" s="12" t="s">
        <v>482</v>
      </c>
      <c r="F77" s="22"/>
      <c r="G77" s="23"/>
      <c r="H77" s="22" t="s">
        <v>481</v>
      </c>
      <c r="I77" s="22"/>
      <c r="J77" s="23"/>
      <c r="K77" s="25"/>
      <c r="L77" s="12" t="str">
        <f aca="true">IF(H77="Terminé",IF(OR(F77="",I77="",J77=""),"Clôture à documenter",IF(OR(C77="Maintenir",C77="Hors périmètre"),"Clôturé","Réévaluer le contrôle")),IF(C77="Hors périmètre","Hors périmètre",IF(C77="Maintenir","Maintenir",IF(F77="","Responsable à nommer",IF(G77="","Échéance à fixer",IF(G77&lt;TODAY(),"En retard",H77))))))</f>
        <v>Responsable à nommer</v>
      </c>
      <c r="M77" s="12" t="n">
        <f aca="false">INDEX(Questionnaire!$S$8:$S$119,MATCH(A77,Questionnaire!$A$8:$A$119,0))</f>
        <v>78</v>
      </c>
      <c r="N77" s="26" t="str">
        <f aca="false">IF(OR(Entreprise!$C$11="",C77="Maintenir",C77="Hors périmètre"),"",Entreprise!$C$11+INDEX(Barèmes!$G$7:$G$10,VALUE(RIGHT(C77,1))))</f>
        <v/>
      </c>
    </row>
    <row r="78" customFormat="false" ht="79.5" hidden="false" customHeight="true" outlineLevel="0" collapsed="false">
      <c r="A78" s="12" t="s">
        <v>337</v>
      </c>
      <c r="B78" s="12" t="s">
        <v>27</v>
      </c>
      <c r="C78" s="12" t="str">
        <f aca="false">INDEX(Questionnaire!$R$8:$R$119,MATCH(A78,Questionnaire!$A$8:$A$119,0))</f>
        <v>P3</v>
      </c>
      <c r="D78" s="12" t="str">
        <f aca="false">IF(C78="Hors périmètre","Contrôle exclu du parcours actif.",IF(C78="Maintenir","Conserver la preuve et programmer une nouvelle vérification.",IF(OR(INDEX(Questionnaire!$T$8:$T$119,MATCH(A78,Questionnaire!$A$8:$A$119,0))=0,INDEX(Questionnaire!$V$8:$V$119,MATCH(A78,Questionnaire!$A$8:$A$119,0))=1),"Vérifier la situation avec le référent ou le prestataire. Puis : ","")&amp;INDEX(Repères!$D$26:$D$137,MATCH(A78,Repères!$A$26:$A$137,0))))</f>
        <v>Vérifier la situation avec le référent ou le prestataire. Puis : Encadrer les saisies dans l’IA et vérifier les paramètres de confidentialité et de conservation.</v>
      </c>
      <c r="E78" s="12" t="s">
        <v>480</v>
      </c>
      <c r="F78" s="22"/>
      <c r="G78" s="23"/>
      <c r="H78" s="22" t="s">
        <v>481</v>
      </c>
      <c r="I78" s="22"/>
      <c r="J78" s="23"/>
      <c r="K78" s="25"/>
      <c r="L78" s="12" t="str">
        <f aca="true">IF(H78="Terminé",IF(OR(F78="",I78="",J78=""),"Clôture à documenter",IF(OR(C78="Maintenir",C78="Hors périmètre"),"Clôturé","Réévaluer le contrôle")),IF(C78="Hors périmètre","Hors périmètre",IF(C78="Maintenir","Maintenir",IF(F78="","Responsable à nommer",IF(G78="","Échéance à fixer",IF(G78&lt;TODAY(),"En retard",H78))))))</f>
        <v>Responsable à nommer</v>
      </c>
      <c r="M78" s="12" t="n">
        <f aca="false">INDEX(Questionnaire!$S$8:$S$119,MATCH(A78,Questionnaire!$A$8:$A$119,0))</f>
        <v>79</v>
      </c>
      <c r="N78" s="26" t="str">
        <f aca="false">IF(OR(Entreprise!$C$11="",C78="Maintenir",C78="Hors périmètre"),"",Entreprise!$C$11+INDEX(Barèmes!$G$7:$G$10,VALUE(RIGHT(C78,1))))</f>
        <v/>
      </c>
    </row>
    <row r="79" customFormat="false" ht="79.5" hidden="false" customHeight="true" outlineLevel="0" collapsed="false">
      <c r="A79" s="12" t="s">
        <v>341</v>
      </c>
      <c r="B79" s="12" t="s">
        <v>27</v>
      </c>
      <c r="C79" s="12" t="str">
        <f aca="false">INDEX(Questionnaire!$R$8:$R$119,MATCH(A79,Questionnaire!$A$8:$A$119,0))</f>
        <v>P4</v>
      </c>
      <c r="D79" s="12" t="str">
        <f aca="false">IF(C79="Hors périmètre","Contrôle exclu du parcours actif.",IF(C79="Maintenir","Conserver la preuve et programmer une nouvelle vérification.",IF(OR(INDEX(Questionnaire!$T$8:$T$119,MATCH(A79,Questionnaire!$A$8:$A$119,0))=0,INDEX(Questionnaire!$V$8:$V$119,MATCH(A79,Questionnaire!$A$8:$A$119,0))=1),"Vérifier la situation avec le référent ou le prestataire. Puis : ","")&amp;INDEX(Repères!$D$26:$D$137,MATCH(A79,Repères!$A$26:$A$137,0))))</f>
        <v>Vérifier la situation avec le référent ou le prestataire. Puis : Prévoir le rangement des documents, la destruction et la discrétion aux postes d’accueil.</v>
      </c>
      <c r="E79" s="12" t="s">
        <v>480</v>
      </c>
      <c r="F79" s="22"/>
      <c r="G79" s="23"/>
      <c r="H79" s="22" t="s">
        <v>481</v>
      </c>
      <c r="I79" s="22"/>
      <c r="J79" s="23"/>
      <c r="K79" s="25"/>
      <c r="L79" s="12" t="str">
        <f aca="true">IF(H79="Terminé",IF(OR(F79="",I79="",J79=""),"Clôture à documenter",IF(OR(C79="Maintenir",C79="Hors périmètre"),"Clôturé","Réévaluer le contrôle")),IF(C79="Hors périmètre","Hors périmètre",IF(C79="Maintenir","Maintenir",IF(F79="","Responsable à nommer",IF(G79="","Échéance à fixer",IF(G79&lt;TODAY(),"En retard",H79))))))</f>
        <v>Responsable à nommer</v>
      </c>
      <c r="M79" s="12" t="n">
        <f aca="false">INDEX(Questionnaire!$S$8:$S$119,MATCH(A79,Questionnaire!$A$8:$A$119,0))</f>
        <v>109</v>
      </c>
      <c r="N79" s="26" t="str">
        <f aca="false">IF(OR(Entreprise!$C$11="",C79="Maintenir",C79="Hors périmètre"),"",Entreprise!$C$11+INDEX(Barèmes!$G$7:$G$10,VALUE(RIGHT(C79,1))))</f>
        <v/>
      </c>
    </row>
    <row r="80" customFormat="false" ht="79.5" hidden="false" customHeight="true" outlineLevel="0" collapsed="false">
      <c r="A80" s="12" t="s">
        <v>344</v>
      </c>
      <c r="B80" s="12" t="s">
        <v>28</v>
      </c>
      <c r="C80" s="12" t="str">
        <f aca="false">INDEX(Questionnaire!$R$8:$R$119,MATCH(A80,Questionnaire!$A$8:$A$119,0))</f>
        <v>P2</v>
      </c>
      <c r="D80" s="12" t="str">
        <f aca="false">IF(C80="Hors périmètre","Contrôle exclu du parcours actif.",IF(C80="Maintenir","Conserver la preuve et programmer une nouvelle vérification.",IF(OR(INDEX(Questionnaire!$T$8:$T$119,MATCH(A80,Questionnaire!$A$8:$A$119,0))=0,INDEX(Questionnaire!$V$8:$V$119,MATCH(A80,Questionnaire!$A$8:$A$119,0))=1),"Vérifier la situation avec le référent ou le prestataire. Puis : ","")&amp;INDEX(Repères!$D$26:$D$137,MATCH(A80,Repères!$A$26:$A$137,0))))</f>
        <v>Vérifier la situation avec le référent ou le prestataire. Puis : Clarifier par écrit les tâches de l’entreprise et du prestataire.</v>
      </c>
      <c r="E80" s="12" t="s">
        <v>480</v>
      </c>
      <c r="F80" s="22"/>
      <c r="G80" s="23"/>
      <c r="H80" s="22" t="s">
        <v>481</v>
      </c>
      <c r="I80" s="22"/>
      <c r="J80" s="23"/>
      <c r="K80" s="25"/>
      <c r="L80" s="12" t="str">
        <f aca="true">IF(H80="Terminé",IF(OR(F80="",I80="",J80=""),"Clôture à documenter",IF(OR(C80="Maintenir",C80="Hors périmètre"),"Clôturé","Réévaluer le contrôle")),IF(C80="Hors périmètre","Hors périmètre",IF(C80="Maintenir","Maintenir",IF(F80="","Responsable à nommer",IF(G80="","Échéance à fixer",IF(G80&lt;TODAY(),"En retard",H80))))))</f>
        <v>Responsable à nommer</v>
      </c>
      <c r="M80" s="12" t="n">
        <f aca="false">INDEX(Questionnaire!$S$8:$S$119,MATCH(A80,Questionnaire!$A$8:$A$119,0))</f>
        <v>32</v>
      </c>
      <c r="N80" s="26" t="str">
        <f aca="false">IF(OR(Entreprise!$C$11="",C80="Maintenir",C80="Hors périmètre"),"",Entreprise!$C$11+INDEX(Barèmes!$G$7:$G$10,VALUE(RIGHT(C80,1))))</f>
        <v/>
      </c>
    </row>
    <row r="81" customFormat="false" ht="79.5" hidden="false" customHeight="true" outlineLevel="0" collapsed="false">
      <c r="A81" s="12" t="s">
        <v>347</v>
      </c>
      <c r="B81" s="12" t="s">
        <v>28</v>
      </c>
      <c r="C81" s="12" t="str">
        <f aca="false">INDEX(Questionnaire!$R$8:$R$119,MATCH(A81,Questionnaire!$A$8:$A$119,0))</f>
        <v>P2</v>
      </c>
      <c r="D81" s="12" t="str">
        <f aca="false">IF(C81="Hors périmètre","Contrôle exclu du parcours actif.",IF(C81="Maintenir","Conserver la preuve et programmer une nouvelle vérification.",IF(OR(INDEX(Questionnaire!$T$8:$T$119,MATCH(A81,Questionnaire!$A$8:$A$119,0))=0,INDEX(Questionnaire!$V$8:$V$119,MATCH(A81,Questionnaire!$A$8:$A$119,0))=1),"Vérifier la situation avec le référent ou le prestataire. Puis : ","")&amp;INDEX(Repères!$D$26:$D$137,MATCH(A81,Repères!$A$26:$A$137,0))))</f>
        <v>Vérifier la situation avec le référent ou le prestataire. Puis : Prévoir l’alerte, les informations à fournir et les modalités d’assistance.</v>
      </c>
      <c r="E81" s="12" t="s">
        <v>482</v>
      </c>
      <c r="F81" s="22"/>
      <c r="G81" s="23"/>
      <c r="H81" s="22" t="s">
        <v>481</v>
      </c>
      <c r="I81" s="22"/>
      <c r="J81" s="23"/>
      <c r="K81" s="25"/>
      <c r="L81" s="12" t="str">
        <f aca="true">IF(H81="Terminé",IF(OR(F81="",I81="",J81=""),"Clôture à documenter",IF(OR(C81="Maintenir",C81="Hors périmètre"),"Clôturé","Réévaluer le contrôle")),IF(C81="Hors périmètre","Hors périmètre",IF(C81="Maintenir","Maintenir",IF(F81="","Responsable à nommer",IF(G81="","Échéance à fixer",IF(G81&lt;TODAY(),"En retard",H81))))))</f>
        <v>Responsable à nommer</v>
      </c>
      <c r="M81" s="12" t="n">
        <f aca="false">INDEX(Questionnaire!$S$8:$S$119,MATCH(A81,Questionnaire!$A$8:$A$119,0))</f>
        <v>33</v>
      </c>
      <c r="N81" s="26" t="str">
        <f aca="false">IF(OR(Entreprise!$C$11="",C81="Maintenir",C81="Hors périmètre"),"",Entreprise!$C$11+INDEX(Barèmes!$G$7:$G$10,VALUE(RIGHT(C81,1))))</f>
        <v/>
      </c>
    </row>
    <row r="82" customFormat="false" ht="79.5" hidden="false" customHeight="true" outlineLevel="0" collapsed="false">
      <c r="A82" s="12" t="s">
        <v>350</v>
      </c>
      <c r="B82" s="12" t="s">
        <v>28</v>
      </c>
      <c r="C82" s="12" t="str">
        <f aca="false">INDEX(Questionnaire!$R$8:$R$119,MATCH(A82,Questionnaire!$A$8:$A$119,0))</f>
        <v>P3</v>
      </c>
      <c r="D82" s="12" t="str">
        <f aca="false">IF(C82="Hors périmètre","Contrôle exclu du parcours actif.",IF(C82="Maintenir","Conserver la preuve et programmer une nouvelle vérification.",IF(OR(INDEX(Questionnaire!$T$8:$T$119,MATCH(A82,Questionnaire!$A$8:$A$119,0))=0,INDEX(Questionnaire!$V$8:$V$119,MATCH(A82,Questionnaire!$A$8:$A$119,0))=1),"Vérifier la situation avec le référent ou le prestataire. Puis : ","")&amp;INDEX(Repères!$D$26:$D$137,MATCH(A82,Repères!$A$26:$A$137,0))))</f>
        <v>Vérifier la situation avec le référent ou le prestataire. Puis : Faire une revue des paramètres utiles de la messagerie et du stockage cloud.</v>
      </c>
      <c r="E82" s="12" t="s">
        <v>482</v>
      </c>
      <c r="F82" s="22"/>
      <c r="G82" s="23"/>
      <c r="H82" s="22" t="s">
        <v>481</v>
      </c>
      <c r="I82" s="22"/>
      <c r="J82" s="23"/>
      <c r="K82" s="25"/>
      <c r="L82" s="12" t="str">
        <f aca="true">IF(H82="Terminé",IF(OR(F82="",I82="",J82=""),"Clôture à documenter",IF(OR(C82="Maintenir",C82="Hors périmètre"),"Clôturé","Réévaluer le contrôle")),IF(C82="Hors périmètre","Hors périmètre",IF(C82="Maintenir","Maintenir",IF(F82="","Responsable à nommer",IF(G82="","Échéance à fixer",IF(G82&lt;TODAY(),"En retard",H82))))))</f>
        <v>Responsable à nommer</v>
      </c>
      <c r="M82" s="12" t="n">
        <f aca="false">INDEX(Questionnaire!$S$8:$S$119,MATCH(A82,Questionnaire!$A$8:$A$119,0))</f>
        <v>80</v>
      </c>
      <c r="N82" s="26" t="str">
        <f aca="false">IF(OR(Entreprise!$C$11="",C82="Maintenir",C82="Hors périmètre"),"",Entreprise!$C$11+INDEX(Barèmes!$G$7:$G$10,VALUE(RIGHT(C82,1))))</f>
        <v/>
      </c>
    </row>
    <row r="83" customFormat="false" ht="79.5" hidden="false" customHeight="true" outlineLevel="0" collapsed="false">
      <c r="A83" s="12" t="s">
        <v>353</v>
      </c>
      <c r="B83" s="12" t="s">
        <v>28</v>
      </c>
      <c r="C83" s="12" t="str">
        <f aca="false">INDEX(Questionnaire!$R$8:$R$119,MATCH(A83,Questionnaire!$A$8:$A$119,0))</f>
        <v>P3</v>
      </c>
      <c r="D83" s="12" t="str">
        <f aca="false">IF(C83="Hors périmètre","Contrôle exclu du parcours actif.",IF(C83="Maintenir","Conserver la preuve et programmer une nouvelle vérification.",IF(OR(INDEX(Questionnaire!$T$8:$T$119,MATCH(A83,Questionnaire!$A$8:$A$119,0))=0,INDEX(Questionnaire!$V$8:$V$119,MATCH(A83,Questionnaire!$A$8:$A$119,0))=1),"Vérifier la situation avec le référent ou le prestataire. Puis : ","")&amp;INDEX(Repères!$D$26:$D$137,MATCH(A83,Repères!$A$26:$A$137,0))))</f>
        <v>Vérifier la situation avec le référent ou le prestataire. Puis : Tester un export et documenter une solution de sortie du fournisseur.</v>
      </c>
      <c r="E83" s="12" t="s">
        <v>482</v>
      </c>
      <c r="F83" s="22"/>
      <c r="G83" s="23"/>
      <c r="H83" s="22" t="s">
        <v>481</v>
      </c>
      <c r="I83" s="22"/>
      <c r="J83" s="23"/>
      <c r="K83" s="25"/>
      <c r="L83" s="12" t="str">
        <f aca="true">IF(H83="Terminé",IF(OR(F83="",I83="",J83=""),"Clôture à documenter",IF(OR(C83="Maintenir",C83="Hors périmètre"),"Clôturé","Réévaluer le contrôle")),IF(C83="Hors périmètre","Hors périmètre",IF(C83="Maintenir","Maintenir",IF(F83="","Responsable à nommer",IF(G83="","Échéance à fixer",IF(G83&lt;TODAY(),"En retard",H83))))))</f>
        <v>Responsable à nommer</v>
      </c>
      <c r="M83" s="12" t="n">
        <f aca="false">INDEX(Questionnaire!$S$8:$S$119,MATCH(A83,Questionnaire!$A$8:$A$119,0))</f>
        <v>81</v>
      </c>
      <c r="N83" s="26" t="str">
        <f aca="false">IF(OR(Entreprise!$C$11="",C83="Maintenir",C83="Hors périmètre"),"",Entreprise!$C$11+INDEX(Barèmes!$G$7:$G$10,VALUE(RIGHT(C83,1))))</f>
        <v/>
      </c>
    </row>
    <row r="84" customFormat="false" ht="79.5" hidden="false" customHeight="true" outlineLevel="0" collapsed="false">
      <c r="A84" s="12" t="s">
        <v>356</v>
      </c>
      <c r="B84" s="12" t="s">
        <v>28</v>
      </c>
      <c r="C84" s="12" t="str">
        <f aca="false">INDEX(Questionnaire!$R$8:$R$119,MATCH(A84,Questionnaire!$A$8:$A$119,0))</f>
        <v>P3</v>
      </c>
      <c r="D84" s="12" t="str">
        <f aca="false">IF(C84="Hors périmètre","Contrôle exclu du parcours actif.",IF(C84="Maintenir","Conserver la preuve et programmer une nouvelle vérification.",IF(OR(INDEX(Questionnaire!$T$8:$T$119,MATCH(A84,Questionnaire!$A$8:$A$119,0))=0,INDEX(Questionnaire!$V$8:$V$119,MATCH(A84,Questionnaire!$A$8:$A$119,0))=1),"Vérifier la situation avec le référent ou le prestataire. Puis : ","")&amp;INDEX(Repères!$D$26:$D$137,MATCH(A84,Repères!$A$26:$A$137,0))))</f>
        <v>Vérifier la situation avec le référent ou le prestataire. Puis : Vérifier la localisation et les engagements de traitement avec l’aide adaptée si nécessaire.</v>
      </c>
      <c r="E84" s="12" t="s">
        <v>482</v>
      </c>
      <c r="F84" s="22"/>
      <c r="G84" s="23"/>
      <c r="H84" s="22" t="s">
        <v>481</v>
      </c>
      <c r="I84" s="22"/>
      <c r="J84" s="23"/>
      <c r="K84" s="25"/>
      <c r="L84" s="12" t="str">
        <f aca="true">IF(H84="Terminé",IF(OR(F84="",I84="",J84=""),"Clôture à documenter",IF(OR(C84="Maintenir",C84="Hors périmètre"),"Clôturé","Réévaluer le contrôle")),IF(C84="Hors périmètre","Hors périmètre",IF(C84="Maintenir","Maintenir",IF(F84="","Responsable à nommer",IF(G84="","Échéance à fixer",IF(G84&lt;TODAY(),"En retard",H84))))))</f>
        <v>Responsable à nommer</v>
      </c>
      <c r="M84" s="12" t="n">
        <f aca="false">INDEX(Questionnaire!$S$8:$S$119,MATCH(A84,Questionnaire!$A$8:$A$119,0))</f>
        <v>82</v>
      </c>
      <c r="N84" s="26" t="str">
        <f aca="false">IF(OR(Entreprise!$C$11="",C84="Maintenir",C84="Hors périmètre"),"",Entreprise!$C$11+INDEX(Barèmes!$G$7:$G$10,VALUE(RIGHT(C84,1))))</f>
        <v/>
      </c>
    </row>
    <row r="85" customFormat="false" ht="79.5" hidden="false" customHeight="true" outlineLevel="0" collapsed="false">
      <c r="A85" s="12" t="s">
        <v>359</v>
      </c>
      <c r="B85" s="12" t="s">
        <v>28</v>
      </c>
      <c r="C85" s="12" t="str">
        <f aca="false">INDEX(Questionnaire!$R$8:$R$119,MATCH(A85,Questionnaire!$A$8:$A$119,0))</f>
        <v>P3</v>
      </c>
      <c r="D85" s="12" t="str">
        <f aca="false">IF(C85="Hors périmètre","Contrôle exclu du parcours actif.",IF(C85="Maintenir","Conserver la preuve et programmer une nouvelle vérification.",IF(OR(INDEX(Questionnaire!$T$8:$T$119,MATCH(A85,Questionnaire!$A$8:$A$119,0))=0,INDEX(Questionnaire!$V$8:$V$119,MATCH(A85,Questionnaire!$A$8:$A$119,0))=1),"Vérifier la situation avec le référent ou le prestataire. Puis : ","")&amp;INDEX(Repères!$D$26:$D$137,MATCH(A85,Repères!$A$26:$A$137,0))))</f>
        <v>Vérifier la situation avec le référent ou le prestataire. Puis : Demander des preuves proportionnées aux accès et à la criticité du service.</v>
      </c>
      <c r="E85" s="12" t="s">
        <v>480</v>
      </c>
      <c r="F85" s="22"/>
      <c r="G85" s="23"/>
      <c r="H85" s="22" t="s">
        <v>481</v>
      </c>
      <c r="I85" s="22"/>
      <c r="J85" s="23"/>
      <c r="K85" s="25"/>
      <c r="L85" s="12" t="str">
        <f aca="true">IF(H85="Terminé",IF(OR(F85="",I85="",J85=""),"Clôture à documenter",IF(OR(C85="Maintenir",C85="Hors périmètre"),"Clôturé","Réévaluer le contrôle")),IF(C85="Hors périmètre","Hors périmètre",IF(C85="Maintenir","Maintenir",IF(F85="","Responsable à nommer",IF(G85="","Échéance à fixer",IF(G85&lt;TODAY(),"En retard",H85))))))</f>
        <v>Responsable à nommer</v>
      </c>
      <c r="M85" s="12" t="n">
        <f aca="false">INDEX(Questionnaire!$S$8:$S$119,MATCH(A85,Questionnaire!$A$8:$A$119,0))</f>
        <v>83</v>
      </c>
      <c r="N85" s="26" t="str">
        <f aca="false">IF(OR(Entreprise!$C$11="",C85="Maintenir",C85="Hors périmètre"),"",Entreprise!$C$11+INDEX(Barèmes!$G$7:$G$10,VALUE(RIGHT(C85,1))))</f>
        <v/>
      </c>
    </row>
    <row r="86" customFormat="false" ht="79.5" hidden="false" customHeight="true" outlineLevel="0" collapsed="false">
      <c r="A86" s="12" t="s">
        <v>362</v>
      </c>
      <c r="B86" s="12" t="s">
        <v>28</v>
      </c>
      <c r="C86" s="12" t="str">
        <f aca="false">INDEX(Questionnaire!$R$8:$R$119,MATCH(A86,Questionnaire!$A$8:$A$119,0))</f>
        <v>P3</v>
      </c>
      <c r="D86" s="12" t="str">
        <f aca="false">IF(C86="Hors périmètre","Contrôle exclu du parcours actif.",IF(C86="Maintenir","Conserver la preuve et programmer une nouvelle vérification.",IF(OR(INDEX(Questionnaire!$T$8:$T$119,MATCH(A86,Questionnaire!$A$8:$A$119,0))=0,INDEX(Questionnaire!$V$8:$V$119,MATCH(A86,Questionnaire!$A$8:$A$119,0))=1),"Vérifier la situation avec le référent ou le prestataire. Puis : ","")&amp;INDEX(Repères!$D$26:$D$137,MATCH(A86,Repères!$A$26:$A$137,0))))</f>
        <v>Vérifier la situation avec le référent ou le prestataire. Puis : Préparer une relève sans dépendre d’un mot de passe ou d’un technicien unique.</v>
      </c>
      <c r="E86" s="12" t="s">
        <v>482</v>
      </c>
      <c r="F86" s="22"/>
      <c r="G86" s="23"/>
      <c r="H86" s="22" t="s">
        <v>481</v>
      </c>
      <c r="I86" s="22"/>
      <c r="J86" s="23"/>
      <c r="K86" s="25"/>
      <c r="L86" s="12" t="str">
        <f aca="true">IF(H86="Terminé",IF(OR(F86="",I86="",J86=""),"Clôture à documenter",IF(OR(C86="Maintenir",C86="Hors périmètre"),"Clôturé","Réévaluer le contrôle")),IF(C86="Hors périmètre","Hors périmètre",IF(C86="Maintenir","Maintenir",IF(F86="","Responsable à nommer",IF(G86="","Échéance à fixer",IF(G86&lt;TODAY(),"En retard",H86))))))</f>
        <v>Responsable à nommer</v>
      </c>
      <c r="M86" s="12" t="n">
        <f aca="false">INDEX(Questionnaire!$S$8:$S$119,MATCH(A86,Questionnaire!$A$8:$A$119,0))</f>
        <v>84</v>
      </c>
      <c r="N86" s="26" t="str">
        <f aca="false">IF(OR(Entreprise!$C$11="",C86="Maintenir",C86="Hors périmètre"),"",Entreprise!$C$11+INDEX(Barèmes!$G$7:$G$10,VALUE(RIGHT(C86,1))))</f>
        <v/>
      </c>
    </row>
    <row r="87" customFormat="false" ht="79.5" hidden="false" customHeight="true" outlineLevel="0" collapsed="false">
      <c r="A87" s="12" t="s">
        <v>365</v>
      </c>
      <c r="B87" s="12" t="s">
        <v>28</v>
      </c>
      <c r="C87" s="12" t="str">
        <f aca="false">INDEX(Questionnaire!$R$8:$R$119,MATCH(A87,Questionnaire!$A$8:$A$119,0))</f>
        <v>P3</v>
      </c>
      <c r="D87" s="12" t="str">
        <f aca="false">IF(C87="Hors périmètre","Contrôle exclu du parcours actif.",IF(C87="Maintenir","Conserver la preuve et programmer une nouvelle vérification.",IF(OR(INDEX(Questionnaire!$T$8:$T$119,MATCH(A87,Questionnaire!$A$8:$A$119,0))=0,INDEX(Questionnaire!$V$8:$V$119,MATCH(A87,Questionnaire!$A$8:$A$119,0))=1),"Vérifier la situation avec le référent ou le prestataire. Puis : ","")&amp;INDEX(Repères!$D$26:$D$137,MATCH(A87,Repères!$A$26:$A$137,0))))</f>
        <v>Vérifier la situation avec le référent ou le prestataire. Puis : Encadrer la sous-traitance et vérifier le retrait des accès en fin de mission.</v>
      </c>
      <c r="E87" s="12" t="s">
        <v>482</v>
      </c>
      <c r="F87" s="22"/>
      <c r="G87" s="23"/>
      <c r="H87" s="22" t="s">
        <v>481</v>
      </c>
      <c r="I87" s="22"/>
      <c r="J87" s="23"/>
      <c r="K87" s="25"/>
      <c r="L87" s="12" t="str">
        <f aca="true">IF(H87="Terminé",IF(OR(F87="",I87="",J87=""),"Clôture à documenter",IF(OR(C87="Maintenir",C87="Hors périmètre"),"Clôturé","Réévaluer le contrôle")),IF(C87="Hors périmètre","Hors périmètre",IF(C87="Maintenir","Maintenir",IF(F87="","Responsable à nommer",IF(G87="","Échéance à fixer",IF(G87&lt;TODAY(),"En retard",H87))))))</f>
        <v>Responsable à nommer</v>
      </c>
      <c r="M87" s="12" t="n">
        <f aca="false">INDEX(Questionnaire!$S$8:$S$119,MATCH(A87,Questionnaire!$A$8:$A$119,0))</f>
        <v>85</v>
      </c>
      <c r="N87" s="26" t="str">
        <f aca="false">IF(OR(Entreprise!$C$11="",C87="Maintenir",C87="Hors périmètre"),"",Entreprise!$C$11+INDEX(Barèmes!$G$7:$G$10,VALUE(RIGHT(C87,1))))</f>
        <v/>
      </c>
    </row>
    <row r="88" customFormat="false" ht="79.5" hidden="false" customHeight="true" outlineLevel="0" collapsed="false">
      <c r="A88" s="12" t="s">
        <v>368</v>
      </c>
      <c r="B88" s="12" t="s">
        <v>29</v>
      </c>
      <c r="C88" s="12" t="str">
        <f aca="false">INDEX(Questionnaire!$R$8:$R$119,MATCH(A88,Questionnaire!$A$8:$A$119,0))</f>
        <v>P1</v>
      </c>
      <c r="D88" s="12" t="str">
        <f aca="false">IF(C88="Hors périmètre","Contrôle exclu du parcours actif.",IF(C88="Maintenir","Conserver la preuve et programmer une nouvelle vérification.",IF(OR(INDEX(Questionnaire!$T$8:$T$119,MATCH(A88,Questionnaire!$A$8:$A$119,0))=0,INDEX(Questionnaire!$V$8:$V$119,MATCH(A88,Questionnaire!$A$8:$A$119,0))=1),"Vérifier la situation avec le référent ou le prestataire. Puis : ","")&amp;INDEX(Repères!$D$26:$D$137,MATCH(A88,Repères!$A$26:$A$137,0))))</f>
        <v>Vérifier la situation avec le référent ou le prestataire. Puis : Mettre à jour, supprimer les composants inutiles et prévoir une restauration avant changement.</v>
      </c>
      <c r="E88" s="12" t="s">
        <v>482</v>
      </c>
      <c r="F88" s="22"/>
      <c r="G88" s="23"/>
      <c r="H88" s="22" t="s">
        <v>481</v>
      </c>
      <c r="I88" s="22"/>
      <c r="J88" s="23"/>
      <c r="K88" s="25"/>
      <c r="L88" s="12" t="str">
        <f aca="true">IF(H88="Terminé",IF(OR(F88="",I88="",J88=""),"Clôture à documenter",IF(OR(C88="Maintenir",C88="Hors périmètre"),"Clôturé","Réévaluer le contrôle")),IF(C88="Hors périmètre","Hors périmètre",IF(C88="Maintenir","Maintenir",IF(F88="","Responsable à nommer",IF(G88="","Échéance à fixer",IF(G88&lt;TODAY(),"En retard",H88))))))</f>
        <v>Responsable à nommer</v>
      </c>
      <c r="M88" s="12" t="n">
        <f aca="false">INDEX(Questionnaire!$S$8:$S$119,MATCH(A88,Questionnaire!$A$8:$A$119,0))</f>
        <v>15</v>
      </c>
      <c r="N88" s="26" t="str">
        <f aca="false">IF(OR(Entreprise!$C$11="",C88="Maintenir",C88="Hors périmètre"),"",Entreprise!$C$11+INDEX(Barèmes!$G$7:$G$10,VALUE(RIGHT(C88,1))))</f>
        <v/>
      </c>
    </row>
    <row r="89" customFormat="false" ht="79.5" hidden="false" customHeight="true" outlineLevel="0" collapsed="false">
      <c r="A89" s="12" t="s">
        <v>371</v>
      </c>
      <c r="B89" s="12" t="s">
        <v>29</v>
      </c>
      <c r="C89" s="12" t="str">
        <f aca="false">INDEX(Questionnaire!$R$8:$R$119,MATCH(A89,Questionnaire!$A$8:$A$119,0))</f>
        <v>P3</v>
      </c>
      <c r="D89" s="12" t="str">
        <f aca="false">IF(C89="Hors périmètre","Contrôle exclu du parcours actif.",IF(C89="Maintenir","Conserver la preuve et programmer une nouvelle vérification.",IF(OR(INDEX(Questionnaire!$T$8:$T$119,MATCH(A89,Questionnaire!$A$8:$A$119,0))=0,INDEX(Questionnaire!$V$8:$V$119,MATCH(A89,Questionnaire!$A$8:$A$119,0))=1),"Vérifier la situation avec le référent ou le prestataire. Puis : ","")&amp;INDEX(Repères!$D$26:$D$137,MATCH(A89,Repères!$A$26:$A$137,0))))</f>
        <v>Vérifier la situation avec le référent ou le prestataire. Puis : Corriger les certificats et contrôler le renouvellement automatique.</v>
      </c>
      <c r="E89" s="12" t="s">
        <v>480</v>
      </c>
      <c r="F89" s="22"/>
      <c r="G89" s="23"/>
      <c r="H89" s="22" t="s">
        <v>481</v>
      </c>
      <c r="I89" s="22"/>
      <c r="J89" s="23"/>
      <c r="K89" s="25"/>
      <c r="L89" s="12" t="str">
        <f aca="true">IF(H89="Terminé",IF(OR(F89="",I89="",J89=""),"Clôture à documenter",IF(OR(C89="Maintenir",C89="Hors périmètre"),"Clôturé","Réévaluer le contrôle")),IF(C89="Hors périmètre","Hors périmètre",IF(C89="Maintenir","Maintenir",IF(F89="","Responsable à nommer",IF(G89="","Échéance à fixer",IF(G89&lt;TODAY(),"En retard",H89))))))</f>
        <v>Responsable à nommer</v>
      </c>
      <c r="M89" s="12" t="n">
        <f aca="false">INDEX(Questionnaire!$S$8:$S$119,MATCH(A89,Questionnaire!$A$8:$A$119,0))</f>
        <v>86</v>
      </c>
      <c r="N89" s="26" t="str">
        <f aca="false">IF(OR(Entreprise!$C$11="",C89="Maintenir",C89="Hors périmètre"),"",Entreprise!$C$11+INDEX(Barèmes!$G$7:$G$10,VALUE(RIGHT(C89,1))))</f>
        <v/>
      </c>
    </row>
    <row r="90" customFormat="false" ht="79.5" hidden="false" customHeight="true" outlineLevel="0" collapsed="false">
      <c r="A90" s="12" t="s">
        <v>374</v>
      </c>
      <c r="B90" s="12" t="s">
        <v>29</v>
      </c>
      <c r="C90" s="12" t="str">
        <f aca="false">INDEX(Questionnaire!$R$8:$R$119,MATCH(A90,Questionnaire!$A$8:$A$119,0))</f>
        <v>P2</v>
      </c>
      <c r="D90" s="12" t="str">
        <f aca="false">IF(C90="Hors périmètre","Contrôle exclu du parcours actif.",IF(C90="Maintenir","Conserver la preuve et programmer une nouvelle vérification.",IF(OR(INDEX(Questionnaire!$T$8:$T$119,MATCH(A90,Questionnaire!$A$8:$A$119,0))=0,INDEX(Questionnaire!$V$8:$V$119,MATCH(A90,Questionnaire!$A$8:$A$119,0))=1),"Vérifier la situation avec le référent ou le prestataire. Puis : ","")&amp;INDEX(Repères!$D$26:$D$137,MATCH(A90,Repères!$A$26:$A$137,0))))</f>
        <v>Vérifier la situation avec le référent ou le prestataire. Puis : Sécuriser les consoles, supprimer les accès anciens et garder la maîtrise du domaine.</v>
      </c>
      <c r="E90" s="12" t="s">
        <v>482</v>
      </c>
      <c r="F90" s="22"/>
      <c r="G90" s="23"/>
      <c r="H90" s="22" t="s">
        <v>481</v>
      </c>
      <c r="I90" s="22"/>
      <c r="J90" s="23"/>
      <c r="K90" s="25"/>
      <c r="L90" s="12" t="str">
        <f aca="true">IF(H90="Terminé",IF(OR(F90="",I90="",J90=""),"Clôture à documenter",IF(OR(C90="Maintenir",C90="Hors périmètre"),"Clôturé","Réévaluer le contrôle")),IF(C90="Hors périmètre","Hors périmètre",IF(C90="Maintenir","Maintenir",IF(F90="","Responsable à nommer",IF(G90="","Échéance à fixer",IF(G90&lt;TODAY(),"En retard",H90))))))</f>
        <v>Responsable à nommer</v>
      </c>
      <c r="M90" s="12" t="n">
        <f aca="false">INDEX(Questionnaire!$S$8:$S$119,MATCH(A90,Questionnaire!$A$8:$A$119,0))</f>
        <v>34</v>
      </c>
      <c r="N90" s="26" t="str">
        <f aca="false">IF(OR(Entreprise!$C$11="",C90="Maintenir",C90="Hors périmètre"),"",Entreprise!$C$11+INDEX(Barèmes!$G$7:$G$10,VALUE(RIGHT(C90,1))))</f>
        <v/>
      </c>
    </row>
    <row r="91" customFormat="false" ht="79.5" hidden="false" customHeight="true" outlineLevel="0" collapsed="false">
      <c r="A91" s="12" t="s">
        <v>377</v>
      </c>
      <c r="B91" s="12" t="s">
        <v>29</v>
      </c>
      <c r="C91" s="12" t="str">
        <f aca="false">INDEX(Questionnaire!$R$8:$R$119,MATCH(A91,Questionnaire!$A$8:$A$119,0))</f>
        <v>P1</v>
      </c>
      <c r="D91" s="12" t="str">
        <f aca="false">IF(C91="Hors périmètre","Contrôle exclu du parcours actif.",IF(C91="Maintenir","Conserver la preuve et programmer une nouvelle vérification.",IF(OR(INDEX(Questionnaire!$T$8:$T$119,MATCH(A91,Questionnaire!$A$8:$A$119,0))=0,INDEX(Questionnaire!$V$8:$V$119,MATCH(A91,Questionnaire!$A$8:$A$119,0))=1),"Vérifier la situation avec le référent ou le prestataire. Puis : ","")&amp;INDEX(Repères!$D$26:$D$137,MATCH(A91,Repères!$A$26:$A$137,0))))</f>
        <v>Vérifier la situation avec le référent ou le prestataire. Puis : Utiliser un prestataire adapté et éviter de stocker les données de cartes dans la boutique.</v>
      </c>
      <c r="E91" s="12" t="s">
        <v>482</v>
      </c>
      <c r="F91" s="22"/>
      <c r="G91" s="23"/>
      <c r="H91" s="22" t="s">
        <v>481</v>
      </c>
      <c r="I91" s="22"/>
      <c r="J91" s="23"/>
      <c r="K91" s="25"/>
      <c r="L91" s="12" t="str">
        <f aca="true">IF(H91="Terminé",IF(OR(F91="",I91="",J91=""),"Clôture à documenter",IF(OR(C91="Maintenir",C91="Hors périmètre"),"Clôturé","Réévaluer le contrôle")),IF(C91="Hors périmètre","Hors périmètre",IF(C91="Maintenir","Maintenir",IF(F91="","Responsable à nommer",IF(G91="","Échéance à fixer",IF(G91&lt;TODAY(),"En retard",H91))))))</f>
        <v>Responsable à nommer</v>
      </c>
      <c r="M91" s="12" t="n">
        <f aca="false">INDEX(Questionnaire!$S$8:$S$119,MATCH(A91,Questionnaire!$A$8:$A$119,0))</f>
        <v>16</v>
      </c>
      <c r="N91" s="26" t="str">
        <f aca="false">IF(OR(Entreprise!$C$11="",C91="Maintenir",C91="Hors périmètre"),"",Entreprise!$C$11+INDEX(Barèmes!$G$7:$G$10,VALUE(RIGHT(C91,1))))</f>
        <v/>
      </c>
    </row>
    <row r="92" customFormat="false" ht="79.5" hidden="false" customHeight="true" outlineLevel="0" collapsed="false">
      <c r="A92" s="12" t="s">
        <v>381</v>
      </c>
      <c r="B92" s="12" t="s">
        <v>29</v>
      </c>
      <c r="C92" s="12" t="str">
        <f aca="false">INDEX(Questionnaire!$R$8:$R$119,MATCH(A92,Questionnaire!$A$8:$A$119,0))</f>
        <v>P3</v>
      </c>
      <c r="D92" s="12" t="str">
        <f aca="false">IF(C92="Hors périmètre","Contrôle exclu du parcours actif.",IF(C92="Maintenir","Conserver la preuve et programmer une nouvelle vérification.",IF(OR(INDEX(Questionnaire!$T$8:$T$119,MATCH(A92,Questionnaire!$A$8:$A$119,0))=0,INDEX(Questionnaire!$V$8:$V$119,MATCH(A92,Questionnaire!$A$8:$A$119,0))=1),"Vérifier la situation avec le référent ou le prestataire. Puis : ","")&amp;INDEX(Repères!$D$26:$D$137,MATCH(A92,Repères!$A$26:$A$137,0))))</f>
        <v>Vérifier la situation avec le référent ou le prestataire. Puis : Faire vérifier les droits clients et le parcours par le mainteneur ou un spécialiste autorisé.</v>
      </c>
      <c r="E92" s="12" t="s">
        <v>482</v>
      </c>
      <c r="F92" s="22"/>
      <c r="G92" s="23"/>
      <c r="H92" s="22" t="s">
        <v>481</v>
      </c>
      <c r="I92" s="22"/>
      <c r="J92" s="23"/>
      <c r="K92" s="25"/>
      <c r="L92" s="12" t="str">
        <f aca="true">IF(H92="Terminé",IF(OR(F92="",I92="",J92=""),"Clôture à documenter",IF(OR(C92="Maintenir",C92="Hors périmètre"),"Clôturé","Réévaluer le contrôle")),IF(C92="Hors périmètre","Hors périmètre",IF(C92="Maintenir","Maintenir",IF(F92="","Responsable à nommer",IF(G92="","Échéance à fixer",IF(G92&lt;TODAY(),"En retard",H92))))))</f>
        <v>Responsable à nommer</v>
      </c>
      <c r="M92" s="12" t="n">
        <f aca="false">INDEX(Questionnaire!$S$8:$S$119,MATCH(A92,Questionnaire!$A$8:$A$119,0))</f>
        <v>87</v>
      </c>
      <c r="N92" s="26" t="str">
        <f aca="false">IF(OR(Entreprise!$C$11="",C92="Maintenir",C92="Hors périmètre"),"",Entreprise!$C$11+INDEX(Barèmes!$G$7:$G$10,VALUE(RIGHT(C92,1))))</f>
        <v/>
      </c>
    </row>
    <row r="93" customFormat="false" ht="79.5" hidden="false" customHeight="true" outlineLevel="0" collapsed="false">
      <c r="A93" s="12" t="s">
        <v>384</v>
      </c>
      <c r="B93" s="12" t="s">
        <v>29</v>
      </c>
      <c r="C93" s="12" t="str">
        <f aca="false">INDEX(Questionnaire!$R$8:$R$119,MATCH(A93,Questionnaire!$A$8:$A$119,0))</f>
        <v>P3</v>
      </c>
      <c r="D93" s="12" t="str">
        <f aca="false">IF(C93="Hors périmètre","Contrôle exclu du parcours actif.",IF(C93="Maintenir","Conserver la preuve et programmer une nouvelle vérification.",IF(OR(INDEX(Questionnaire!$T$8:$T$119,MATCH(A93,Questionnaire!$A$8:$A$119,0))=0,INDEX(Questionnaire!$V$8:$V$119,MATCH(A93,Questionnaire!$A$8:$A$119,0))=1),"Vérifier la situation avec le référent ou le prestataire. Puis : ","")&amp;INDEX(Repères!$D$26:$D$137,MATCH(A93,Repères!$A$26:$A$137,0))))</f>
        <v>Vérifier la situation avec le référent ou le prestataire. Puis : Organiser une veille simple et conserver les preuves des copies ou faux comptes.</v>
      </c>
      <c r="E93" s="12" t="s">
        <v>480</v>
      </c>
      <c r="F93" s="22"/>
      <c r="G93" s="23"/>
      <c r="H93" s="22" t="s">
        <v>481</v>
      </c>
      <c r="I93" s="22"/>
      <c r="J93" s="23"/>
      <c r="K93" s="25"/>
      <c r="L93" s="12" t="str">
        <f aca="true">IF(H93="Terminé",IF(OR(F93="",I93="",J93=""),"Clôture à documenter",IF(OR(C93="Maintenir",C93="Hors périmètre"),"Clôturé","Réévaluer le contrôle")),IF(C93="Hors périmètre","Hors périmètre",IF(C93="Maintenir","Maintenir",IF(F93="","Responsable à nommer",IF(G93="","Échéance à fixer",IF(G93&lt;TODAY(),"En retard",H93))))))</f>
        <v>Responsable à nommer</v>
      </c>
      <c r="M93" s="12" t="n">
        <f aca="false">INDEX(Questionnaire!$S$8:$S$119,MATCH(A93,Questionnaire!$A$8:$A$119,0))</f>
        <v>88</v>
      </c>
      <c r="N93" s="26" t="str">
        <f aca="false">IF(OR(Entreprise!$C$11="",C93="Maintenir",C93="Hors périmètre"),"",Entreprise!$C$11+INDEX(Barèmes!$G$7:$G$10,VALUE(RIGHT(C93,1))))</f>
        <v/>
      </c>
    </row>
    <row r="94" customFormat="false" ht="79.5" hidden="false" customHeight="true" outlineLevel="0" collapsed="false">
      <c r="A94" s="12" t="s">
        <v>387</v>
      </c>
      <c r="B94" s="12" t="s">
        <v>29</v>
      </c>
      <c r="C94" s="12" t="str">
        <f aca="false">INDEX(Questionnaire!$R$8:$R$119,MATCH(A94,Questionnaire!$A$8:$A$119,0))</f>
        <v>P3</v>
      </c>
      <c r="D94" s="12" t="str">
        <f aca="false">IF(C94="Hors périmètre","Contrôle exclu du parcours actif.",IF(C94="Maintenir","Conserver la preuve et programmer une nouvelle vérification.",IF(OR(INDEX(Questionnaire!$T$8:$T$119,MATCH(A94,Questionnaire!$A$8:$A$119,0))=0,INDEX(Questionnaire!$V$8:$V$119,MATCH(A94,Questionnaire!$A$8:$A$119,0))=1),"Vérifier la situation avec le référent ou le prestataire. Puis : ","")&amp;INDEX(Repères!$D$26:$D$137,MATCH(A94,Repères!$A$26:$A$137,0))))</f>
        <v>Vérifier la situation avec le référent ou le prestataire. Puis : Reprendre les accès, retirer les anciens intervenants et publier les coordonnées officielles.</v>
      </c>
      <c r="E94" s="12" t="s">
        <v>480</v>
      </c>
      <c r="F94" s="22"/>
      <c r="G94" s="23"/>
      <c r="H94" s="22" t="s">
        <v>481</v>
      </c>
      <c r="I94" s="22"/>
      <c r="J94" s="23"/>
      <c r="K94" s="25"/>
      <c r="L94" s="12" t="str">
        <f aca="true">IF(H94="Terminé",IF(OR(F94="",I94="",J94=""),"Clôture à documenter",IF(OR(C94="Maintenir",C94="Hors périmètre"),"Clôturé","Réévaluer le contrôle")),IF(C94="Hors périmètre","Hors périmètre",IF(C94="Maintenir","Maintenir",IF(F94="","Responsable à nommer",IF(G94="","Échéance à fixer",IF(G94&lt;TODAY(),"En retard",H94))))))</f>
        <v>Responsable à nommer</v>
      </c>
      <c r="M94" s="12" t="n">
        <f aca="false">INDEX(Questionnaire!$S$8:$S$119,MATCH(A94,Questionnaire!$A$8:$A$119,0))</f>
        <v>89</v>
      </c>
      <c r="N94" s="26" t="str">
        <f aca="false">IF(OR(Entreprise!$C$11="",C94="Maintenir",C94="Hors périmètre"),"",Entreprise!$C$11+INDEX(Barèmes!$G$7:$G$10,VALUE(RIGHT(C94,1))))</f>
        <v/>
      </c>
    </row>
    <row r="95" customFormat="false" ht="79.5" hidden="false" customHeight="true" outlineLevel="0" collapsed="false">
      <c r="A95" s="12" t="s">
        <v>391</v>
      </c>
      <c r="B95" s="12" t="s">
        <v>29</v>
      </c>
      <c r="C95" s="12" t="str">
        <f aca="false">INDEX(Questionnaire!$R$8:$R$119,MATCH(A95,Questionnaire!$A$8:$A$119,0))</f>
        <v>P3</v>
      </c>
      <c r="D95" s="12" t="str">
        <f aca="false">IF(C95="Hors périmètre","Contrôle exclu du parcours actif.",IF(C95="Maintenir","Conserver la preuve et programmer une nouvelle vérification.",IF(OR(INDEX(Questionnaire!$T$8:$T$119,MATCH(A95,Questionnaire!$A$8:$A$119,0))=0,INDEX(Questionnaire!$V$8:$V$119,MATCH(A95,Questionnaire!$A$8:$A$119,0))=1),"Vérifier la situation avec le référent ou le prestataire. Puis : ","")&amp;INDEX(Repères!$D$26:$D$137,MATCH(A95,Repères!$A$26:$A$137,0))))</f>
        <v>Vérifier la situation avec le référent ou le prestataire. Puis : Inclure des contrôles de sécurité proportionnés et faire corriger les défauts critiques.</v>
      </c>
      <c r="E95" s="12" t="s">
        <v>483</v>
      </c>
      <c r="F95" s="22"/>
      <c r="G95" s="23"/>
      <c r="H95" s="22" t="s">
        <v>481</v>
      </c>
      <c r="I95" s="22"/>
      <c r="J95" s="23"/>
      <c r="K95" s="25"/>
      <c r="L95" s="12" t="str">
        <f aca="true">IF(H95="Terminé",IF(OR(F95="",I95="",J95=""),"Clôture à documenter",IF(OR(C95="Maintenir",C95="Hors périmètre"),"Clôturé","Réévaluer le contrôle")),IF(C95="Hors périmètre","Hors périmètre",IF(C95="Maintenir","Maintenir",IF(F95="","Responsable à nommer",IF(G95="","Échéance à fixer",IF(G95&lt;TODAY(),"En retard",H95))))))</f>
        <v>Responsable à nommer</v>
      </c>
      <c r="M95" s="12" t="n">
        <f aca="false">INDEX(Questionnaire!$S$8:$S$119,MATCH(A95,Questionnaire!$A$8:$A$119,0))</f>
        <v>90</v>
      </c>
      <c r="N95" s="26" t="str">
        <f aca="false">IF(OR(Entreprise!$C$11="",C95="Maintenir",C95="Hors périmètre"),"",Entreprise!$C$11+INDEX(Barèmes!$G$7:$G$10,VALUE(RIGHT(C95,1))))</f>
        <v/>
      </c>
    </row>
    <row r="96" customFormat="false" ht="79.5" hidden="false" customHeight="true" outlineLevel="0" collapsed="false">
      <c r="A96" s="12" t="s">
        <v>395</v>
      </c>
      <c r="B96" s="12" t="s">
        <v>30</v>
      </c>
      <c r="C96" s="12" t="str">
        <f aca="false">INDEX(Questionnaire!$R$8:$R$119,MATCH(A96,Questionnaire!$A$8:$A$119,0))</f>
        <v>P2</v>
      </c>
      <c r="D96" s="12" t="str">
        <f aca="false">IF(C96="Hors périmètre","Contrôle exclu du parcours actif.",IF(C96="Maintenir","Conserver la preuve et programmer une nouvelle vérification.",IF(OR(INDEX(Questionnaire!$T$8:$T$119,MATCH(A96,Questionnaire!$A$8:$A$119,0))=0,INDEX(Questionnaire!$V$8:$V$119,MATCH(A96,Questionnaire!$A$8:$A$119,0))=1),"Vérifier la situation avec le référent ou le prestataire. Puis : ","")&amp;INDEX(Repères!$D$26:$D$137,MATCH(A96,Repères!$A$26:$A$137,0))))</f>
        <v>Vérifier la situation avec le référent ou le prestataire. Puis : Prévoir une séance pratique et des rappels réguliers, dirigeant compris.</v>
      </c>
      <c r="E96" s="12" t="s">
        <v>480</v>
      </c>
      <c r="F96" s="22"/>
      <c r="G96" s="23"/>
      <c r="H96" s="22" t="s">
        <v>481</v>
      </c>
      <c r="I96" s="22"/>
      <c r="J96" s="23"/>
      <c r="K96" s="25"/>
      <c r="L96" s="12" t="str">
        <f aca="true">IF(H96="Terminé",IF(OR(F96="",I96="",J96=""),"Clôture à documenter",IF(OR(C96="Maintenir",C96="Hors périmètre"),"Clôturé","Réévaluer le contrôle")),IF(C96="Hors périmètre","Hors périmètre",IF(C96="Maintenir","Maintenir",IF(F96="","Responsable à nommer",IF(G96="","Échéance à fixer",IF(G96&lt;TODAY(),"En retard",H96))))))</f>
        <v>Responsable à nommer</v>
      </c>
      <c r="M96" s="12" t="n">
        <f aca="false">INDEX(Questionnaire!$S$8:$S$119,MATCH(A96,Questionnaire!$A$8:$A$119,0))</f>
        <v>35</v>
      </c>
      <c r="N96" s="26" t="str">
        <f aca="false">IF(OR(Entreprise!$C$11="",C96="Maintenir",C96="Hors périmètre"),"",Entreprise!$C$11+INDEX(Barèmes!$G$7:$G$10,VALUE(RIGHT(C96,1))))</f>
        <v/>
      </c>
    </row>
    <row r="97" customFormat="false" ht="79.5" hidden="false" customHeight="true" outlineLevel="0" collapsed="false">
      <c r="A97" s="12" t="s">
        <v>398</v>
      </c>
      <c r="B97" s="12" t="s">
        <v>30</v>
      </c>
      <c r="C97" s="12" t="str">
        <f aca="false">INDEX(Questionnaire!$R$8:$R$119,MATCH(A97,Questionnaire!$A$8:$A$119,0))</f>
        <v>P2</v>
      </c>
      <c r="D97" s="12" t="str">
        <f aca="false">IF(C97="Hors périmètre","Contrôle exclu du parcours actif.",IF(C97="Maintenir","Conserver la preuve et programmer une nouvelle vérification.",IF(OR(INDEX(Questionnaire!$T$8:$T$119,MATCH(A97,Questionnaire!$A$8:$A$119,0))=0,INDEX(Questionnaire!$V$8:$V$119,MATCH(A97,Questionnaire!$A$8:$A$119,0))=1),"Vérifier la situation avec le référent ou le prestataire. Puis : ","")&amp;INDEX(Repères!$D$26:$D$137,MATCH(A97,Repères!$A$26:$A$137,0))))</f>
        <v>Vérifier la situation avec le référent ou le prestataire. Puis : Expliquer à qui signaler immédiatement et remercier les personnes qui alertent.</v>
      </c>
      <c r="E97" s="12" t="s">
        <v>480</v>
      </c>
      <c r="F97" s="22"/>
      <c r="G97" s="23"/>
      <c r="H97" s="22" t="s">
        <v>481</v>
      </c>
      <c r="I97" s="22"/>
      <c r="J97" s="23"/>
      <c r="K97" s="25"/>
      <c r="L97" s="12" t="str">
        <f aca="true">IF(H97="Terminé",IF(OR(F97="",I97="",J97=""),"Clôture à documenter",IF(OR(C97="Maintenir",C97="Hors périmètre"),"Clôturé","Réévaluer le contrôle")),IF(C97="Hors périmètre","Hors périmètre",IF(C97="Maintenir","Maintenir",IF(F97="","Responsable à nommer",IF(G97="","Échéance à fixer",IF(G97&lt;TODAY(),"En retard",H97))))))</f>
        <v>Responsable à nommer</v>
      </c>
      <c r="M97" s="12" t="n">
        <f aca="false">INDEX(Questionnaire!$S$8:$S$119,MATCH(A97,Questionnaire!$A$8:$A$119,0))</f>
        <v>36</v>
      </c>
      <c r="N97" s="26" t="str">
        <f aca="false">IF(OR(Entreprise!$C$11="",C97="Maintenir",C97="Hors périmètre"),"",Entreprise!$C$11+INDEX(Barèmes!$G$7:$G$10,VALUE(RIGHT(C97,1))))</f>
        <v/>
      </c>
    </row>
    <row r="98" customFormat="false" ht="79.5" hidden="false" customHeight="true" outlineLevel="0" collapsed="false">
      <c r="A98" s="12" t="s">
        <v>401</v>
      </c>
      <c r="B98" s="12" t="s">
        <v>30</v>
      </c>
      <c r="C98" s="12" t="str">
        <f aca="false">INDEX(Questionnaire!$R$8:$R$119,MATCH(A98,Questionnaire!$A$8:$A$119,0))</f>
        <v>P3</v>
      </c>
      <c r="D98" s="12" t="str">
        <f aca="false">IF(C98="Hors périmètre","Contrôle exclu du parcours actif.",IF(C98="Maintenir","Conserver la preuve et programmer une nouvelle vérification.",IF(OR(INDEX(Questionnaire!$T$8:$T$119,MATCH(A98,Questionnaire!$A$8:$A$119,0))=0,INDEX(Questionnaire!$V$8:$V$119,MATCH(A98,Questionnaire!$A$8:$A$119,0))=1),"Vérifier la situation avec le référent ou le prestataire. Puis : ","")&amp;INDEX(Repères!$D$26:$D$137,MATCH(A98,Repères!$A$26:$A$137,0))))</f>
        <v>Vérifier la situation avec le référent ou le prestataire. Puis : Inclure mots de passe, partage, fraude et alerte dès l’arrivée.</v>
      </c>
      <c r="E98" s="12" t="s">
        <v>480</v>
      </c>
      <c r="F98" s="22"/>
      <c r="G98" s="23"/>
      <c r="H98" s="22" t="s">
        <v>481</v>
      </c>
      <c r="I98" s="22"/>
      <c r="J98" s="23"/>
      <c r="K98" s="25"/>
      <c r="L98" s="12" t="str">
        <f aca="true">IF(H98="Terminé",IF(OR(F98="",I98="",J98=""),"Clôture à documenter",IF(OR(C98="Maintenir",C98="Hors périmètre"),"Clôturé","Réévaluer le contrôle")),IF(C98="Hors périmètre","Hors périmètre",IF(C98="Maintenir","Maintenir",IF(F98="","Responsable à nommer",IF(G98="","Échéance à fixer",IF(G98&lt;TODAY(),"En retard",H98))))))</f>
        <v>Responsable à nommer</v>
      </c>
      <c r="M98" s="12" t="n">
        <f aca="false">INDEX(Questionnaire!$S$8:$S$119,MATCH(A98,Questionnaire!$A$8:$A$119,0))</f>
        <v>91</v>
      </c>
      <c r="N98" s="26" t="str">
        <f aca="false">IF(OR(Entreprise!$C$11="",C98="Maintenir",C98="Hors périmètre"),"",Entreprise!$C$11+INDEX(Barèmes!$G$7:$G$10,VALUE(RIGHT(C98,1))))</f>
        <v/>
      </c>
    </row>
    <row r="99" customFormat="false" ht="79.5" hidden="false" customHeight="true" outlineLevel="0" collapsed="false">
      <c r="A99" s="12" t="s">
        <v>404</v>
      </c>
      <c r="B99" s="12" t="s">
        <v>30</v>
      </c>
      <c r="C99" s="12" t="str">
        <f aca="false">INDEX(Questionnaire!$R$8:$R$119,MATCH(A99,Questionnaire!$A$8:$A$119,0))</f>
        <v>P3</v>
      </c>
      <c r="D99" s="12" t="str">
        <f aca="false">IF(C99="Hors périmètre","Contrôle exclu du parcours actif.",IF(C99="Maintenir","Conserver la preuve et programmer une nouvelle vérification.",IF(OR(INDEX(Questionnaire!$T$8:$T$119,MATCH(A99,Questionnaire!$A$8:$A$119,0))=0,INDEX(Questionnaire!$V$8:$V$119,MATCH(A99,Questionnaire!$A$8:$A$119,0))=1),"Vérifier la situation avec le référent ou le prestataire. Puis : ","")&amp;INDEX(Repères!$D$26:$D$137,MATCH(A99,Repères!$A$26:$A$137,0))))</f>
        <v>Vérifier la situation avec le référent ou le prestataire. Puis : Travailler les scénarios réellement rencontrés par ces fonctions.</v>
      </c>
      <c r="E99" s="12" t="s">
        <v>480</v>
      </c>
      <c r="F99" s="22"/>
      <c r="G99" s="23"/>
      <c r="H99" s="22" t="s">
        <v>481</v>
      </c>
      <c r="I99" s="22"/>
      <c r="J99" s="23"/>
      <c r="K99" s="25"/>
      <c r="L99" s="12" t="str">
        <f aca="true">IF(H99="Terminé",IF(OR(F99="",I99="",J99=""),"Clôture à documenter",IF(OR(C99="Maintenir",C99="Hors périmètre"),"Clôturé","Réévaluer le contrôle")),IF(C99="Hors périmètre","Hors périmètre",IF(C99="Maintenir","Maintenir",IF(F99="","Responsable à nommer",IF(G99="","Échéance à fixer",IF(G99&lt;TODAY(),"En retard",H99))))))</f>
        <v>Responsable à nommer</v>
      </c>
      <c r="M99" s="12" t="n">
        <f aca="false">INDEX(Questionnaire!$S$8:$S$119,MATCH(A99,Questionnaire!$A$8:$A$119,0))</f>
        <v>92</v>
      </c>
      <c r="N99" s="26" t="str">
        <f aca="false">IF(OR(Entreprise!$C$11="",C99="Maintenir",C99="Hors périmètre"),"",Entreprise!$C$11+INDEX(Barèmes!$G$7:$G$10,VALUE(RIGHT(C99,1))))</f>
        <v/>
      </c>
    </row>
    <row r="100" customFormat="false" ht="79.5" hidden="false" customHeight="true" outlineLevel="0" collapsed="false">
      <c r="A100" s="12" t="s">
        <v>407</v>
      </c>
      <c r="B100" s="12" t="s">
        <v>30</v>
      </c>
      <c r="C100" s="12" t="str">
        <f aca="false">INDEX(Questionnaire!$R$8:$R$119,MATCH(A100,Questionnaire!$A$8:$A$119,0))</f>
        <v>P3</v>
      </c>
      <c r="D100" s="12" t="str">
        <f aca="false">IF(C100="Hors périmètre","Contrôle exclu du parcours actif.",IF(C100="Maintenir","Conserver la preuve et programmer une nouvelle vérification.",IF(OR(INDEX(Questionnaire!$T$8:$T$119,MATCH(A100,Questionnaire!$A$8:$A$119,0))=0,INDEX(Questionnaire!$V$8:$V$119,MATCH(A100,Questionnaire!$A$8:$A$119,0))=1),"Vérifier la situation avec le référent ou le prestataire. Puis : ","")&amp;INDEX(Repères!$D$26:$D$137,MATCH(A100,Repères!$A$26:$A$137,0))))</f>
        <v>Vérifier la situation avec le référent ou le prestataire. Puis : Rédiger une charte courte et vérifier la compréhension sans collecte excessive.</v>
      </c>
      <c r="E100" s="12" t="s">
        <v>480</v>
      </c>
      <c r="F100" s="22"/>
      <c r="G100" s="23"/>
      <c r="H100" s="22" t="s">
        <v>481</v>
      </c>
      <c r="I100" s="22"/>
      <c r="J100" s="23"/>
      <c r="K100" s="25"/>
      <c r="L100" s="12" t="str">
        <f aca="true">IF(H100="Terminé",IF(OR(F100="",I100="",J100=""),"Clôture à documenter",IF(OR(C100="Maintenir",C100="Hors périmètre"),"Clôturé","Réévaluer le contrôle")),IF(C100="Hors périmètre","Hors périmètre",IF(C100="Maintenir","Maintenir",IF(F100="","Responsable à nommer",IF(G100="","Échéance à fixer",IF(G100&lt;TODAY(),"En retard",H100))))))</f>
        <v>Responsable à nommer</v>
      </c>
      <c r="M100" s="12" t="n">
        <f aca="false">INDEX(Questionnaire!$S$8:$S$119,MATCH(A100,Questionnaire!$A$8:$A$119,0))</f>
        <v>93</v>
      </c>
      <c r="N100" s="26" t="str">
        <f aca="false">IF(OR(Entreprise!$C$11="",C100="Maintenir",C100="Hors périmètre"),"",Entreprise!$C$11+INDEX(Barèmes!$G$7:$G$10,VALUE(RIGHT(C100,1))))</f>
        <v/>
      </c>
    </row>
    <row r="101" customFormat="false" ht="79.5" hidden="false" customHeight="true" outlineLevel="0" collapsed="false">
      <c r="A101" s="12" t="s">
        <v>410</v>
      </c>
      <c r="B101" s="12" t="s">
        <v>30</v>
      </c>
      <c r="C101" s="12" t="str">
        <f aca="false">INDEX(Questionnaire!$R$8:$R$119,MATCH(A101,Questionnaire!$A$8:$A$119,0))</f>
        <v>P3</v>
      </c>
      <c r="D101" s="12" t="str">
        <f aca="false">IF(C101="Hors périmètre","Contrôle exclu du parcours actif.",IF(C101="Maintenir","Conserver la preuve et programmer une nouvelle vérification.",IF(OR(INDEX(Questionnaire!$T$8:$T$119,MATCH(A101,Questionnaire!$A$8:$A$119,0))=0,INDEX(Questionnaire!$V$8:$V$119,MATCH(A101,Questionnaire!$A$8:$A$119,0))=1),"Vérifier la situation avec le référent ou le prestataire. Puis : ","")&amp;INDEX(Repères!$D$26:$D$137,MATCH(A101,Repères!$A$26:$A$137,0))))</f>
        <v>Vérifier la situation avec le référent ou le prestataire. Puis : Limiter les usages à risque et expliquer la procédure en cas de perte.</v>
      </c>
      <c r="E101" s="12" t="s">
        <v>480</v>
      </c>
      <c r="F101" s="22"/>
      <c r="G101" s="23"/>
      <c r="H101" s="22" t="s">
        <v>481</v>
      </c>
      <c r="I101" s="22"/>
      <c r="J101" s="23"/>
      <c r="K101" s="25"/>
      <c r="L101" s="12" t="str">
        <f aca="true">IF(H101="Terminé",IF(OR(F101="",I101="",J101=""),"Clôture à documenter",IF(OR(C101="Maintenir",C101="Hors périmètre"),"Clôturé","Réévaluer le contrôle")),IF(C101="Hors périmètre","Hors périmètre",IF(C101="Maintenir","Maintenir",IF(F101="","Responsable à nommer",IF(G101="","Échéance à fixer",IF(G101&lt;TODAY(),"En retard",H101))))))</f>
        <v>Responsable à nommer</v>
      </c>
      <c r="M101" s="12" t="n">
        <f aca="false">INDEX(Questionnaire!$S$8:$S$119,MATCH(A101,Questionnaire!$A$8:$A$119,0))</f>
        <v>94</v>
      </c>
      <c r="N101" s="26" t="str">
        <f aca="false">IF(OR(Entreprise!$C$11="",C101="Maintenir",C101="Hors périmètre"),"",Entreprise!$C$11+INDEX(Barèmes!$G$7:$G$10,VALUE(RIGHT(C101,1))))</f>
        <v/>
      </c>
    </row>
    <row r="102" customFormat="false" ht="79.5" hidden="false" customHeight="true" outlineLevel="0" collapsed="false">
      <c r="A102" s="12" t="s">
        <v>413</v>
      </c>
      <c r="B102" s="12" t="s">
        <v>30</v>
      </c>
      <c r="C102" s="12" t="str">
        <f aca="false">INDEX(Questionnaire!$R$8:$R$119,MATCH(A102,Questionnaire!$A$8:$A$119,0))</f>
        <v>P4</v>
      </c>
      <c r="D102" s="12" t="str">
        <f aca="false">IF(C102="Hors périmètre","Contrôle exclu du parcours actif.",IF(C102="Maintenir","Conserver la preuve et programmer une nouvelle vérification.",IF(OR(INDEX(Questionnaire!$T$8:$T$119,MATCH(A102,Questionnaire!$A$8:$A$119,0))=0,INDEX(Questionnaire!$V$8:$V$119,MATCH(A102,Questionnaire!$A$8:$A$119,0))=1),"Vérifier la situation avec le référent ou le prestataire. Puis : ","")&amp;INDEX(Repères!$D$26:$D$137,MATCH(A102,Repères!$A$26:$A$137,0))))</f>
        <v>Vérifier la situation avec le référent ou le prestataire. Puis : Tester une demande de paiement ou un message douteux puis corriger les difficultés.</v>
      </c>
      <c r="E102" s="12" t="s">
        <v>480</v>
      </c>
      <c r="F102" s="22"/>
      <c r="G102" s="23"/>
      <c r="H102" s="22" t="s">
        <v>481</v>
      </c>
      <c r="I102" s="22"/>
      <c r="J102" s="23"/>
      <c r="K102" s="25"/>
      <c r="L102" s="12" t="str">
        <f aca="true">IF(H102="Terminé",IF(OR(F102="",I102="",J102=""),"Clôture à documenter",IF(OR(C102="Maintenir",C102="Hors périmètre"),"Clôturé","Réévaluer le contrôle")),IF(C102="Hors périmètre","Hors périmètre",IF(C102="Maintenir","Maintenir",IF(F102="","Responsable à nommer",IF(G102="","Échéance à fixer",IF(G102&lt;TODAY(),"En retard",H102))))))</f>
        <v>Responsable à nommer</v>
      </c>
      <c r="M102" s="12" t="n">
        <f aca="false">INDEX(Questionnaire!$S$8:$S$119,MATCH(A102,Questionnaire!$A$8:$A$119,0))</f>
        <v>110</v>
      </c>
      <c r="N102" s="26" t="str">
        <f aca="false">IF(OR(Entreprise!$C$11="",C102="Maintenir",C102="Hors périmètre"),"",Entreprise!$C$11+INDEX(Barèmes!$G$7:$G$10,VALUE(RIGHT(C102,1))))</f>
        <v/>
      </c>
    </row>
    <row r="103" customFormat="false" ht="79.5" hidden="false" customHeight="true" outlineLevel="0" collapsed="false">
      <c r="A103" s="12" t="s">
        <v>416</v>
      </c>
      <c r="B103" s="12" t="s">
        <v>30</v>
      </c>
      <c r="C103" s="12" t="str">
        <f aca="false">INDEX(Questionnaire!$R$8:$R$119,MATCH(A103,Questionnaire!$A$8:$A$119,0))</f>
        <v>P4</v>
      </c>
      <c r="D103" s="12" t="str">
        <f aca="false">IF(C103="Hors périmètre","Contrôle exclu du parcours actif.",IF(C103="Maintenir","Conserver la preuve et programmer une nouvelle vérification.",IF(OR(INDEX(Questionnaire!$T$8:$T$119,MATCH(A103,Questionnaire!$A$8:$A$119,0))=0,INDEX(Questionnaire!$V$8:$V$119,MATCH(A103,Questionnaire!$A$8:$A$119,0))=1),"Vérifier la situation avec le référent ou le prestataire. Puis : ","")&amp;INDEX(Repères!$D$26:$D$137,MATCH(A103,Repères!$A$26:$A$137,0))))</f>
        <v>Vérifier la situation avec le référent ou le prestataire. Puis : Choisir une source officielle et prévoir qui traite les alertes pertinentes.</v>
      </c>
      <c r="E103" s="12" t="s">
        <v>480</v>
      </c>
      <c r="F103" s="22"/>
      <c r="G103" s="23"/>
      <c r="H103" s="22" t="s">
        <v>481</v>
      </c>
      <c r="I103" s="22"/>
      <c r="J103" s="23"/>
      <c r="K103" s="25"/>
      <c r="L103" s="12" t="str">
        <f aca="true">IF(H103="Terminé",IF(OR(F103="",I103="",J103=""),"Clôture à documenter",IF(OR(C103="Maintenir",C103="Hors périmètre"),"Clôturé","Réévaluer le contrôle")),IF(C103="Hors périmètre","Hors périmètre",IF(C103="Maintenir","Maintenir",IF(F103="","Responsable à nommer",IF(G103="","Échéance à fixer",IF(G103&lt;TODAY(),"En retard",H103))))))</f>
        <v>Responsable à nommer</v>
      </c>
      <c r="M103" s="12" t="n">
        <f aca="false">INDEX(Questionnaire!$S$8:$S$119,MATCH(A103,Questionnaire!$A$8:$A$119,0))</f>
        <v>111</v>
      </c>
      <c r="N103" s="26" t="str">
        <f aca="false">IF(OR(Entreprise!$C$11="",C103="Maintenir",C103="Hors périmètre"),"",Entreprise!$C$11+INDEX(Barèmes!$G$7:$G$10,VALUE(RIGHT(C103,1))))</f>
        <v/>
      </c>
    </row>
    <row r="104" customFormat="false" ht="79.5" hidden="false" customHeight="true" outlineLevel="0" collapsed="false">
      <c r="A104" s="12" t="s">
        <v>419</v>
      </c>
      <c r="B104" s="12" t="s">
        <v>32</v>
      </c>
      <c r="C104" s="12" t="str">
        <f aca="false">INDEX(Questionnaire!$R$8:$R$119,MATCH(A104,Questionnaire!$A$8:$A$119,0))</f>
        <v>P2</v>
      </c>
      <c r="D104" s="12" t="str">
        <f aca="false">IF(C104="Hors périmètre","Contrôle exclu du parcours actif.",IF(C104="Maintenir","Conserver la preuve et programmer une nouvelle vérification.",IF(OR(INDEX(Questionnaire!$T$8:$T$119,MATCH(A104,Questionnaire!$A$8:$A$119,0))=0,INDEX(Questionnaire!$V$8:$V$119,MATCH(A104,Questionnaire!$A$8:$A$119,0))=1),"Vérifier la situation avec le référent ou le prestataire. Puis : ","")&amp;INDEX(Repères!$D$26:$D$137,MATCH(A104,Repères!$A$26:$A$137,0))))</f>
        <v>Vérifier la situation avec le référent ou le prestataire. Puis : Imprimer une fiche d’urgence et conserver une copie accessible au remplaçant.</v>
      </c>
      <c r="E104" s="12" t="s">
        <v>480</v>
      </c>
      <c r="F104" s="22"/>
      <c r="G104" s="23"/>
      <c r="H104" s="22" t="s">
        <v>481</v>
      </c>
      <c r="I104" s="22"/>
      <c r="J104" s="23"/>
      <c r="K104" s="25"/>
      <c r="L104" s="12" t="str">
        <f aca="true">IF(H104="Terminé",IF(OR(F104="",I104="",J104=""),"Clôture à documenter",IF(OR(C104="Maintenir",C104="Hors périmètre"),"Clôturé","Réévaluer le contrôle")),IF(C104="Hors périmètre","Hors périmètre",IF(C104="Maintenir","Maintenir",IF(F104="","Responsable à nommer",IF(G104="","Échéance à fixer",IF(G104&lt;TODAY(),"En retard",H104))))))</f>
        <v>Responsable à nommer</v>
      </c>
      <c r="M104" s="12" t="n">
        <f aca="false">INDEX(Questionnaire!$S$8:$S$119,MATCH(A104,Questionnaire!$A$8:$A$119,0))</f>
        <v>37</v>
      </c>
      <c r="N104" s="26" t="str">
        <f aca="false">IF(OR(Entreprise!$C$11="",C104="Maintenir",C104="Hors périmètre"),"",Entreprise!$C$11+INDEX(Barèmes!$G$7:$G$10,VALUE(RIGHT(C104,1))))</f>
        <v/>
      </c>
    </row>
    <row r="105" customFormat="false" ht="79.5" hidden="false" customHeight="true" outlineLevel="0" collapsed="false">
      <c r="A105" s="12" t="s">
        <v>422</v>
      </c>
      <c r="B105" s="12" t="s">
        <v>32</v>
      </c>
      <c r="C105" s="12" t="str">
        <f aca="false">INDEX(Questionnaire!$R$8:$R$119,MATCH(A105,Questionnaire!$A$8:$A$119,0))</f>
        <v>P2</v>
      </c>
      <c r="D105" s="12" t="str">
        <f aca="false">IF(C105="Hors périmètre","Contrôle exclu du parcours actif.",IF(C105="Maintenir","Conserver la preuve et programmer une nouvelle vérification.",IF(OR(INDEX(Questionnaire!$T$8:$T$119,MATCH(A105,Questionnaire!$A$8:$A$119,0))=0,INDEX(Questionnaire!$V$8:$V$119,MATCH(A105,Questionnaire!$A$8:$A$119,0))=1),"Vérifier la situation avec le référent ou le prestataire. Puis : ","")&amp;INDEX(Repères!$D$26:$D$137,MATCH(A105,Repères!$A$26:$A$137,0))))</f>
        <v>Vérifier la situation avec le référent ou le prestataire. Puis : Activer les alertes utiles et convenir d’un délai de prise en compte adapté.</v>
      </c>
      <c r="E105" s="12" t="s">
        <v>482</v>
      </c>
      <c r="F105" s="22"/>
      <c r="G105" s="23"/>
      <c r="H105" s="22" t="s">
        <v>481</v>
      </c>
      <c r="I105" s="22"/>
      <c r="J105" s="23"/>
      <c r="K105" s="25"/>
      <c r="L105" s="12" t="str">
        <f aca="true">IF(H105="Terminé",IF(OR(F105="",I105="",J105=""),"Clôture à documenter",IF(OR(C105="Maintenir",C105="Hors périmètre"),"Clôturé","Réévaluer le contrôle")),IF(C105="Hors périmètre","Hors périmètre",IF(C105="Maintenir","Maintenir",IF(F105="","Responsable à nommer",IF(G105="","Échéance à fixer",IF(G105&lt;TODAY(),"En retard",H105))))))</f>
        <v>Responsable à nommer</v>
      </c>
      <c r="M105" s="12" t="n">
        <f aca="false">INDEX(Questionnaire!$S$8:$S$119,MATCH(A105,Questionnaire!$A$8:$A$119,0))</f>
        <v>38</v>
      </c>
      <c r="N105" s="26" t="str">
        <f aca="false">IF(OR(Entreprise!$C$11="",C105="Maintenir",C105="Hors périmètre"),"",Entreprise!$C$11+INDEX(Barèmes!$G$7:$G$10,VALUE(RIGHT(C105,1))))</f>
        <v/>
      </c>
    </row>
    <row r="106" customFormat="false" ht="79.5" hidden="false" customHeight="true" outlineLevel="0" collapsed="false">
      <c r="A106" s="12" t="s">
        <v>425</v>
      </c>
      <c r="B106" s="12" t="s">
        <v>32</v>
      </c>
      <c r="C106" s="12" t="str">
        <f aca="false">INDEX(Questionnaire!$R$8:$R$119,MATCH(A106,Questionnaire!$A$8:$A$119,0))</f>
        <v>P3</v>
      </c>
      <c r="D106" s="12" t="str">
        <f aca="false">IF(C106="Hors périmètre","Contrôle exclu du parcours actif.",IF(C106="Maintenir","Conserver la preuve et programmer une nouvelle vérification.",IF(OR(INDEX(Questionnaire!$T$8:$T$119,MATCH(A106,Questionnaire!$A$8:$A$119,0))=0,INDEX(Questionnaire!$V$8:$V$119,MATCH(A106,Questionnaire!$A$8:$A$119,0))=1),"Vérifier la situation avec le référent ou le prestataire. Puis : ","")&amp;INDEX(Repères!$D$26:$D$137,MATCH(A106,Repères!$A$26:$A$137,0))))</f>
        <v>Vérifier la situation avec le référent ou le prestataire. Puis : Définir la conservation selon besoins, contrat et minimisation. Tester l’accès aux journaux.</v>
      </c>
      <c r="E106" s="12" t="s">
        <v>482</v>
      </c>
      <c r="F106" s="22"/>
      <c r="G106" s="23"/>
      <c r="H106" s="22" t="s">
        <v>481</v>
      </c>
      <c r="I106" s="22"/>
      <c r="J106" s="23"/>
      <c r="K106" s="25"/>
      <c r="L106" s="12" t="str">
        <f aca="true">IF(H106="Terminé",IF(OR(F106="",I106="",J106=""),"Clôture à documenter",IF(OR(C106="Maintenir",C106="Hors périmètre"),"Clôturé","Réévaluer le contrôle")),IF(C106="Hors périmètre","Hors périmètre",IF(C106="Maintenir","Maintenir",IF(F106="","Responsable à nommer",IF(G106="","Échéance à fixer",IF(G106&lt;TODAY(),"En retard",H106))))))</f>
        <v>Responsable à nommer</v>
      </c>
      <c r="M106" s="12" t="n">
        <f aca="false">INDEX(Questionnaire!$S$8:$S$119,MATCH(A106,Questionnaire!$A$8:$A$119,0))</f>
        <v>95</v>
      </c>
      <c r="N106" s="26" t="str">
        <f aca="false">IF(OR(Entreprise!$C$11="",C106="Maintenir",C106="Hors périmètre"),"",Entreprise!$C$11+INDEX(Barèmes!$G$7:$G$10,VALUE(RIGHT(C106,1))))</f>
        <v/>
      </c>
    </row>
    <row r="107" customFormat="false" ht="79.5" hidden="false" customHeight="true" outlineLevel="0" collapsed="false">
      <c r="A107" s="12" t="s">
        <v>428</v>
      </c>
      <c r="B107" s="12" t="s">
        <v>32</v>
      </c>
      <c r="C107" s="12" t="str">
        <f aca="false">INDEX(Questionnaire!$R$8:$R$119,MATCH(A107,Questionnaire!$A$8:$A$119,0))</f>
        <v>P1</v>
      </c>
      <c r="D107" s="12" t="str">
        <f aca="false">IF(C107="Hors périmètre","Contrôle exclu du parcours actif.",IF(C107="Maintenir","Conserver la preuve et programmer une nouvelle vérification.",IF(OR(INDEX(Questionnaire!$T$8:$T$119,MATCH(A107,Questionnaire!$A$8:$A$119,0))=0,INDEX(Questionnaire!$V$8:$V$119,MATCH(A107,Questionnaire!$A$8:$A$119,0))=1),"Vérifier la situation avec le référent ou le prestataire. Puis : ","")&amp;INDEX(Repères!$D$26:$D$137,MATCH(A107,Repères!$A$26:$A$137,0))))</f>
        <v>Vérifier la situation avec le référent ou le prestataire. Puis : Écrire une procédure courte et la tester avec les personnes concernées.</v>
      </c>
      <c r="E107" s="12" t="s">
        <v>480</v>
      </c>
      <c r="F107" s="22"/>
      <c r="G107" s="23"/>
      <c r="H107" s="22" t="s">
        <v>481</v>
      </c>
      <c r="I107" s="22"/>
      <c r="J107" s="23"/>
      <c r="K107" s="25"/>
      <c r="L107" s="12" t="str">
        <f aca="true">IF(H107="Terminé",IF(OR(F107="",I107="",J107=""),"Clôture à documenter",IF(OR(C107="Maintenir",C107="Hors périmètre"),"Clôturé","Réévaluer le contrôle")),IF(C107="Hors périmètre","Hors périmètre",IF(C107="Maintenir","Maintenir",IF(F107="","Responsable à nommer",IF(G107="","Échéance à fixer",IF(G107&lt;TODAY(),"En retard",H107))))))</f>
        <v>Responsable à nommer</v>
      </c>
      <c r="M107" s="12" t="n">
        <f aca="false">INDEX(Questionnaire!$S$8:$S$119,MATCH(A107,Questionnaire!$A$8:$A$119,0))</f>
        <v>17</v>
      </c>
      <c r="N107" s="26" t="str">
        <f aca="false">IF(OR(Entreprise!$C$11="",C107="Maintenir",C107="Hors périmètre"),"",Entreprise!$C$11+INDEX(Barèmes!$G$7:$G$10,VALUE(RIGHT(C107,1))))</f>
        <v/>
      </c>
    </row>
    <row r="108" customFormat="false" ht="79.5" hidden="false" customHeight="true" outlineLevel="0" collapsed="false">
      <c r="A108" s="12" t="s">
        <v>431</v>
      </c>
      <c r="B108" s="12" t="s">
        <v>32</v>
      </c>
      <c r="C108" s="12" t="str">
        <f aca="false">INDEX(Questionnaire!$R$8:$R$119,MATCH(A108,Questionnaire!$A$8:$A$119,0))</f>
        <v>P3</v>
      </c>
      <c r="D108" s="12" t="str">
        <f aca="false">IF(C108="Hors périmètre","Contrôle exclu du parcours actif.",IF(C108="Maintenir","Conserver la preuve et programmer une nouvelle vérification.",IF(OR(INDEX(Questionnaire!$T$8:$T$119,MATCH(A108,Questionnaire!$A$8:$A$119,0))=0,INDEX(Questionnaire!$V$8:$V$119,MATCH(A108,Questionnaire!$A$8:$A$119,0))=1),"Vérifier la situation avec le référent ou le prestataire. Puis : ","")&amp;INDEX(Repères!$D$26:$D$137,MATCH(A108,Repères!$A$26:$A$137,0))))</f>
        <v>Vérifier la situation avec le référent ou le prestataire. Puis : Préparer la récupération de compte et la vérification des accès persistants.</v>
      </c>
      <c r="E108" s="12" t="s">
        <v>482</v>
      </c>
      <c r="F108" s="22"/>
      <c r="G108" s="23"/>
      <c r="H108" s="22" t="s">
        <v>481</v>
      </c>
      <c r="I108" s="22"/>
      <c r="J108" s="23"/>
      <c r="K108" s="25"/>
      <c r="L108" s="12" t="str">
        <f aca="true">IF(H108="Terminé",IF(OR(F108="",I108="",J108=""),"Clôture à documenter",IF(OR(C108="Maintenir",C108="Hors périmètre"),"Clôturé","Réévaluer le contrôle")),IF(C108="Hors périmètre","Hors périmètre",IF(C108="Maintenir","Maintenir",IF(F108="","Responsable à nommer",IF(G108="","Échéance à fixer",IF(G108&lt;TODAY(),"En retard",H108))))))</f>
        <v>Responsable à nommer</v>
      </c>
      <c r="M108" s="12" t="n">
        <f aca="false">INDEX(Questionnaire!$S$8:$S$119,MATCH(A108,Questionnaire!$A$8:$A$119,0))</f>
        <v>96</v>
      </c>
      <c r="N108" s="26" t="str">
        <f aca="false">IF(OR(Entreprise!$C$11="",C108="Maintenir",C108="Hors périmètre"),"",Entreprise!$C$11+INDEX(Barèmes!$G$7:$G$10,VALUE(RIGHT(C108,1))))</f>
        <v/>
      </c>
    </row>
    <row r="109" customFormat="false" ht="79.5" hidden="false" customHeight="true" outlineLevel="0" collapsed="false">
      <c r="A109" s="12" t="s">
        <v>434</v>
      </c>
      <c r="B109" s="12" t="s">
        <v>32</v>
      </c>
      <c r="C109" s="12" t="str">
        <f aca="false">INDEX(Questionnaire!$R$8:$R$119,MATCH(A109,Questionnaire!$A$8:$A$119,0))</f>
        <v>P3</v>
      </c>
      <c r="D109" s="12" t="str">
        <f aca="false">IF(C109="Hors périmètre","Contrôle exclu du parcours actif.",IF(C109="Maintenir","Conserver la preuve et programmer une nouvelle vérification.",IF(OR(INDEX(Questionnaire!$T$8:$T$119,MATCH(A109,Questionnaire!$A$8:$A$119,0))=0,INDEX(Questionnaire!$V$8:$V$119,MATCH(A109,Questionnaire!$A$8:$A$119,0))=1),"Vérifier la situation avec le référent ou le prestataire. Puis : ","")&amp;INDEX(Repères!$D$26:$D$137,MATCH(A109,Repères!$A$26:$A$137,0))))</f>
        <v>Vérifier la situation avec le référent ou le prestataire. Puis : Documenter toute violation. Notifier la CNIL si risque, si possible sous 72 h après connaissance. Informer les personnes si risque élevé, sauf exception prévue.</v>
      </c>
      <c r="E109" s="12" t="s">
        <v>482</v>
      </c>
      <c r="F109" s="22"/>
      <c r="G109" s="23"/>
      <c r="H109" s="22" t="s">
        <v>481</v>
      </c>
      <c r="I109" s="22"/>
      <c r="J109" s="23"/>
      <c r="K109" s="25"/>
      <c r="L109" s="12" t="str">
        <f aca="true">IF(H109="Terminé",IF(OR(F109="",I109="",J109=""),"Clôture à documenter",IF(OR(C109="Maintenir",C109="Hors périmètre"),"Clôturé","Réévaluer le contrôle")),IF(C109="Hors périmètre","Hors périmètre",IF(C109="Maintenir","Maintenir",IF(F109="","Responsable à nommer",IF(G109="","Échéance à fixer",IF(G109&lt;TODAY(),"En retard",H109))))))</f>
        <v>Responsable à nommer</v>
      </c>
      <c r="M109" s="12" t="n">
        <f aca="false">INDEX(Questionnaire!$S$8:$S$119,MATCH(A109,Questionnaire!$A$8:$A$119,0))</f>
        <v>97</v>
      </c>
      <c r="N109" s="26" t="str">
        <f aca="false">IF(OR(Entreprise!$C$11="",C109="Maintenir",C109="Hors périmètre"),"",Entreprise!$C$11+INDEX(Barèmes!$G$7:$G$10,VALUE(RIGHT(C109,1))))</f>
        <v/>
      </c>
    </row>
    <row r="110" customFormat="false" ht="79.5" hidden="false" customHeight="true" outlineLevel="0" collapsed="false">
      <c r="A110" s="12" t="s">
        <v>437</v>
      </c>
      <c r="B110" s="12" t="s">
        <v>32</v>
      </c>
      <c r="C110" s="12" t="str">
        <f aca="false">INDEX(Questionnaire!$R$8:$R$119,MATCH(A110,Questionnaire!$A$8:$A$119,0))</f>
        <v>P3</v>
      </c>
      <c r="D110" s="12" t="str">
        <f aca="false">IF(C110="Hors périmètre","Contrôle exclu du parcours actif.",IF(C110="Maintenir","Conserver la preuve et programmer une nouvelle vérification.",IF(OR(INDEX(Questionnaire!$T$8:$T$119,MATCH(A110,Questionnaire!$A$8:$A$119,0))=0,INDEX(Questionnaire!$V$8:$V$119,MATCH(A110,Questionnaire!$A$8:$A$119,0))=1),"Vérifier la situation avec le référent ou le prestataire. Puis : ","")&amp;INDEX(Repères!$D$26:$D$137,MATCH(A110,Repères!$A$26:$A$137,0))))</f>
        <v>Vérifier la situation avec le référent ou le prestataire. Puis : Prévoir qui sollicite l’assistance, rassemble les éléments et dépose plainte.</v>
      </c>
      <c r="E110" s="12" t="s">
        <v>480</v>
      </c>
      <c r="F110" s="22"/>
      <c r="G110" s="23"/>
      <c r="H110" s="22" t="s">
        <v>481</v>
      </c>
      <c r="I110" s="22"/>
      <c r="J110" s="23"/>
      <c r="K110" s="25"/>
      <c r="L110" s="12" t="str">
        <f aca="true">IF(H110="Terminé",IF(OR(F110="",I110="",J110=""),"Clôture à documenter",IF(OR(C110="Maintenir",C110="Hors périmètre"),"Clôturé","Réévaluer le contrôle")),IF(C110="Hors périmètre","Hors périmètre",IF(C110="Maintenir","Maintenir",IF(F110="","Responsable à nommer",IF(G110="","Échéance à fixer",IF(G110&lt;TODAY(),"En retard",H110))))))</f>
        <v>Responsable à nommer</v>
      </c>
      <c r="M110" s="12" t="n">
        <f aca="false">INDEX(Questionnaire!$S$8:$S$119,MATCH(A110,Questionnaire!$A$8:$A$119,0))</f>
        <v>98</v>
      </c>
      <c r="N110" s="26" t="str">
        <f aca="false">IF(OR(Entreprise!$C$11="",C110="Maintenir",C110="Hors périmètre"),"",Entreprise!$C$11+INDEX(Barèmes!$G$7:$G$10,VALUE(RIGHT(C110,1))))</f>
        <v/>
      </c>
    </row>
    <row r="111" customFormat="false" ht="79.5" hidden="false" customHeight="true" outlineLevel="0" collapsed="false">
      <c r="A111" s="12" t="s">
        <v>440</v>
      </c>
      <c r="B111" s="12" t="s">
        <v>32</v>
      </c>
      <c r="C111" s="12" t="str">
        <f aca="false">INDEX(Questionnaire!$R$8:$R$119,MATCH(A111,Questionnaire!$A$8:$A$119,0))</f>
        <v>P3</v>
      </c>
      <c r="D111" s="12" t="str">
        <f aca="false">IF(C111="Hors périmètre","Contrôle exclu du parcours actif.",IF(C111="Maintenir","Conserver la preuve et programmer une nouvelle vérification.",IF(OR(INDEX(Questionnaire!$T$8:$T$119,MATCH(A111,Questionnaire!$A$8:$A$119,0))=0,INDEX(Questionnaire!$V$8:$V$119,MATCH(A111,Questionnaire!$A$8:$A$119,0))=1),"Vérifier la situation avec le référent ou le prestataire. Puis : ","")&amp;INDEX(Repères!$D$26:$D$137,MATCH(A111,Repères!$A$26:$A$137,0))))</f>
        <v>Vérifier la situation avec le référent ou le prestataire. Puis : Noter les faits, les décisions et les actions de prévention après chaque événement.</v>
      </c>
      <c r="E111" s="12" t="s">
        <v>480</v>
      </c>
      <c r="F111" s="22"/>
      <c r="G111" s="23"/>
      <c r="H111" s="22" t="s">
        <v>481</v>
      </c>
      <c r="I111" s="22"/>
      <c r="J111" s="23"/>
      <c r="K111" s="25"/>
      <c r="L111" s="12" t="str">
        <f aca="true">IF(H111="Terminé",IF(OR(F111="",I111="",J111=""),"Clôture à documenter",IF(OR(C111="Maintenir",C111="Hors périmètre"),"Clôturé","Réévaluer le contrôle")),IF(C111="Hors périmètre","Hors périmètre",IF(C111="Maintenir","Maintenir",IF(F111="","Responsable à nommer",IF(G111="","Échéance à fixer",IF(G111&lt;TODAY(),"En retard",H111))))))</f>
        <v>Responsable à nommer</v>
      </c>
      <c r="M111" s="12" t="n">
        <f aca="false">INDEX(Questionnaire!$S$8:$S$119,MATCH(A111,Questionnaire!$A$8:$A$119,0))</f>
        <v>99</v>
      </c>
      <c r="N111" s="26" t="str">
        <f aca="false">IF(OR(Entreprise!$C$11="",C111="Maintenir",C111="Hors périmètre"),"",Entreprise!$C$11+INDEX(Barèmes!$G$7:$G$10,VALUE(RIGHT(C111,1))))</f>
        <v/>
      </c>
    </row>
    <row r="112" customFormat="false" ht="79.5" hidden="false" customHeight="true" outlineLevel="0" collapsed="false">
      <c r="A112" s="12" t="s">
        <v>443</v>
      </c>
      <c r="B112" s="12" t="s">
        <v>33</v>
      </c>
      <c r="C112" s="12" t="str">
        <f aca="false">INDEX(Questionnaire!$R$8:$R$119,MATCH(A112,Questionnaire!$A$8:$A$119,0))</f>
        <v>P2</v>
      </c>
      <c r="D112" s="12" t="str">
        <f aca="false">IF(C112="Hors périmètre","Contrôle exclu du parcours actif.",IF(C112="Maintenir","Conserver la preuve et programmer une nouvelle vérification.",IF(OR(INDEX(Questionnaire!$T$8:$T$119,MATCH(A112,Questionnaire!$A$8:$A$119,0))=0,INDEX(Questionnaire!$V$8:$V$119,MATCH(A112,Questionnaire!$A$8:$A$119,0))=1),"Vérifier la situation avec le référent ou le prestataire. Puis : ","")&amp;INDEX(Repères!$D$26:$D$137,MATCH(A112,Repères!$A$26:$A$137,0))))</f>
        <v>Vérifier la situation avec le référent ou le prestataire. Puis : Fixer des objectifs réalistes de reprise et de perte de données, puis comparer aux capacités.</v>
      </c>
      <c r="E112" s="12" t="s">
        <v>480</v>
      </c>
      <c r="F112" s="22"/>
      <c r="G112" s="23"/>
      <c r="H112" s="22" t="s">
        <v>481</v>
      </c>
      <c r="I112" s="22"/>
      <c r="J112" s="23"/>
      <c r="K112" s="25"/>
      <c r="L112" s="12" t="str">
        <f aca="true">IF(H112="Terminé",IF(OR(F112="",I112="",J112=""),"Clôture à documenter",IF(OR(C112="Maintenir",C112="Hors périmètre"),"Clôturé","Réévaluer le contrôle")),IF(C112="Hors périmètre","Hors périmètre",IF(C112="Maintenir","Maintenir",IF(F112="","Responsable à nommer",IF(G112="","Échéance à fixer",IF(G112&lt;TODAY(),"En retard",H112))))))</f>
        <v>Responsable à nommer</v>
      </c>
      <c r="M112" s="12" t="n">
        <f aca="false">INDEX(Questionnaire!$S$8:$S$119,MATCH(A112,Questionnaire!$A$8:$A$119,0))</f>
        <v>39</v>
      </c>
      <c r="N112" s="26" t="str">
        <f aca="false">IF(OR(Entreprise!$C$11="",C112="Maintenir",C112="Hors périmètre"),"",Entreprise!$C$11+INDEX(Barèmes!$G$7:$G$10,VALUE(RIGHT(C112,1))))</f>
        <v/>
      </c>
    </row>
    <row r="113" customFormat="false" ht="79.5" hidden="false" customHeight="true" outlineLevel="0" collapsed="false">
      <c r="A113" s="12" t="s">
        <v>446</v>
      </c>
      <c r="B113" s="12" t="s">
        <v>33</v>
      </c>
      <c r="C113" s="12" t="str">
        <f aca="false">INDEX(Questionnaire!$R$8:$R$119,MATCH(A113,Questionnaire!$A$8:$A$119,0))</f>
        <v>P2</v>
      </c>
      <c r="D113" s="12" t="str">
        <f aca="false">IF(C113="Hors périmètre","Contrôle exclu du parcours actif.",IF(C113="Maintenir","Conserver la preuve et programmer une nouvelle vérification.",IF(OR(INDEX(Questionnaire!$T$8:$T$119,MATCH(A113,Questionnaire!$A$8:$A$119,0))=0,INDEX(Questionnaire!$V$8:$V$119,MATCH(A113,Questionnaire!$A$8:$A$119,0))=1),"Vérifier la situation avec le référent ou le prestataire. Puis : ","")&amp;INDEX(Repères!$D$26:$D$137,MATCH(A113,Repères!$A$26:$A$137,0))))</f>
        <v>Vérifier la situation avec le référent ou le prestataire. Puis : Préparer des moyens simples de continuer le travail et de ressaisir ensuite.</v>
      </c>
      <c r="E113" s="12" t="s">
        <v>482</v>
      </c>
      <c r="F113" s="22"/>
      <c r="G113" s="23"/>
      <c r="H113" s="22" t="s">
        <v>481</v>
      </c>
      <c r="I113" s="22"/>
      <c r="J113" s="23"/>
      <c r="K113" s="25"/>
      <c r="L113" s="12" t="str">
        <f aca="true">IF(H113="Terminé",IF(OR(F113="",I113="",J113=""),"Clôture à documenter",IF(OR(C113="Maintenir",C113="Hors périmètre"),"Clôturé","Réévaluer le contrôle")),IF(C113="Hors périmètre","Hors périmètre",IF(C113="Maintenir","Maintenir",IF(F113="","Responsable à nommer",IF(G113="","Échéance à fixer",IF(G113&lt;TODAY(),"En retard",H113))))))</f>
        <v>Responsable à nommer</v>
      </c>
      <c r="M113" s="12" t="n">
        <f aca="false">INDEX(Questionnaire!$S$8:$S$119,MATCH(A113,Questionnaire!$A$8:$A$119,0))</f>
        <v>40</v>
      </c>
      <c r="N113" s="26" t="str">
        <f aca="false">IF(OR(Entreprise!$C$11="",C113="Maintenir",C113="Hors périmètre"),"",Entreprise!$C$11+INDEX(Barèmes!$G$7:$G$10,VALUE(RIGHT(C113,1))))</f>
        <v/>
      </c>
    </row>
    <row r="114" customFormat="false" ht="79.5" hidden="false" customHeight="true" outlineLevel="0" collapsed="false">
      <c r="A114" s="12" t="s">
        <v>449</v>
      </c>
      <c r="B114" s="12" t="s">
        <v>33</v>
      </c>
      <c r="C114" s="12" t="str">
        <f aca="false">INDEX(Questionnaire!$R$8:$R$119,MATCH(A114,Questionnaire!$A$8:$A$119,0))</f>
        <v>P2</v>
      </c>
      <c r="D114" s="12" t="str">
        <f aca="false">IF(C114="Hors périmètre","Contrôle exclu du parcours actif.",IF(C114="Maintenir","Conserver la preuve et programmer une nouvelle vérification.",IF(OR(INDEX(Questionnaire!$T$8:$T$119,MATCH(A114,Questionnaire!$A$8:$A$119,0))=0,INDEX(Questionnaire!$V$8:$V$119,MATCH(A114,Questionnaire!$A$8:$A$119,0))=1),"Vérifier la situation avec le référent ou le prestataire. Puis : ","")&amp;INDEX(Repères!$D$26:$D$137,MATCH(A114,Repères!$A$26:$A$137,0))))</f>
        <v>Vérifier la situation avec le référent ou le prestataire. Puis : Construire un plan de reprise avec le prestataire et les responsables métier.</v>
      </c>
      <c r="E114" s="12" t="s">
        <v>482</v>
      </c>
      <c r="F114" s="22"/>
      <c r="G114" s="23"/>
      <c r="H114" s="22" t="s">
        <v>481</v>
      </c>
      <c r="I114" s="22"/>
      <c r="J114" s="23"/>
      <c r="K114" s="25"/>
      <c r="L114" s="12" t="str">
        <f aca="true">IF(H114="Terminé",IF(OR(F114="",I114="",J114=""),"Clôture à documenter",IF(OR(C114="Maintenir",C114="Hors périmètre"),"Clôturé","Réévaluer le contrôle")),IF(C114="Hors périmètre","Hors périmètre",IF(C114="Maintenir","Maintenir",IF(F114="","Responsable à nommer",IF(G114="","Échéance à fixer",IF(G114&lt;TODAY(),"En retard",H114))))))</f>
        <v>Responsable à nommer</v>
      </c>
      <c r="M114" s="12" t="n">
        <f aca="false">INDEX(Questionnaire!$S$8:$S$119,MATCH(A114,Questionnaire!$A$8:$A$119,0))</f>
        <v>41</v>
      </c>
      <c r="N114" s="26" t="str">
        <f aca="false">IF(OR(Entreprise!$C$11="",C114="Maintenir",C114="Hors périmètre"),"",Entreprise!$C$11+INDEX(Barèmes!$G$7:$G$10,VALUE(RIGHT(C114,1))))</f>
        <v/>
      </c>
    </row>
    <row r="115" customFormat="false" ht="79.5" hidden="false" customHeight="true" outlineLevel="0" collapsed="false">
      <c r="A115" s="12" t="s">
        <v>452</v>
      </c>
      <c r="B115" s="12" t="s">
        <v>33</v>
      </c>
      <c r="C115" s="12" t="str">
        <f aca="false">INDEX(Questionnaire!$R$8:$R$119,MATCH(A115,Questionnaire!$A$8:$A$119,0))</f>
        <v>P3</v>
      </c>
      <c r="D115" s="12" t="str">
        <f aca="false">IF(C115="Hors périmètre","Contrôle exclu du parcours actif.",IF(C115="Maintenir","Conserver la preuve et programmer une nouvelle vérification.",IF(OR(INDEX(Questionnaire!$T$8:$T$119,MATCH(A115,Questionnaire!$A$8:$A$119,0))=0,INDEX(Questionnaire!$V$8:$V$119,MATCH(A115,Questionnaire!$A$8:$A$119,0))=1),"Vérifier la situation avec le référent ou le prestataire. Puis : ","")&amp;INDEX(Repères!$D$26:$D$137,MATCH(A115,Repères!$A$26:$A$137,0))))</f>
        <v>Vérifier la situation avec le référent ou le prestataire. Puis : Simuler une indisponibilité du logiciel principal et tester les décisions.</v>
      </c>
      <c r="E115" s="12" t="s">
        <v>482</v>
      </c>
      <c r="F115" s="22"/>
      <c r="G115" s="23"/>
      <c r="H115" s="22" t="s">
        <v>481</v>
      </c>
      <c r="I115" s="22"/>
      <c r="J115" s="23"/>
      <c r="K115" s="25"/>
      <c r="L115" s="12" t="str">
        <f aca="true">IF(H115="Terminé",IF(OR(F115="",I115="",J115=""),"Clôture à documenter",IF(OR(C115="Maintenir",C115="Hors périmètre"),"Clôturé","Réévaluer le contrôle")),IF(C115="Hors périmètre","Hors périmètre",IF(C115="Maintenir","Maintenir",IF(F115="","Responsable à nommer",IF(G115="","Échéance à fixer",IF(G115&lt;TODAY(),"En retard",H115))))))</f>
        <v>Responsable à nommer</v>
      </c>
      <c r="M115" s="12" t="n">
        <f aca="false">INDEX(Questionnaire!$S$8:$S$119,MATCH(A115,Questionnaire!$A$8:$A$119,0))</f>
        <v>100</v>
      </c>
      <c r="N115" s="26" t="str">
        <f aca="false">IF(OR(Entreprise!$C$11="",C115="Maintenir",C115="Hors périmètre"),"",Entreprise!$C$11+INDEX(Barèmes!$G$7:$G$10,VALUE(RIGHT(C115,1))))</f>
        <v/>
      </c>
    </row>
    <row r="116" customFormat="false" ht="79.5" hidden="false" customHeight="true" outlineLevel="0" collapsed="false">
      <c r="A116" s="12" t="s">
        <v>455</v>
      </c>
      <c r="B116" s="12" t="s">
        <v>33</v>
      </c>
      <c r="C116" s="12" t="str">
        <f aca="false">INDEX(Questionnaire!$R$8:$R$119,MATCH(A116,Questionnaire!$A$8:$A$119,0))</f>
        <v>P3</v>
      </c>
      <c r="D116" s="12" t="str">
        <f aca="false">IF(C116="Hors périmètre","Contrôle exclu du parcours actif.",IF(C116="Maintenir","Conserver la preuve et programmer une nouvelle vérification.",IF(OR(INDEX(Questionnaire!$T$8:$T$119,MATCH(A116,Questionnaire!$A$8:$A$119,0))=0,INDEX(Questionnaire!$V$8:$V$119,MATCH(A116,Questionnaire!$A$8:$A$119,0))=1),"Vérifier la situation avec le référent ou le prestataire. Puis : ","")&amp;INDEX(Repères!$D$26:$D$137,MATCH(A116,Repères!$A$26:$A$137,0))))</f>
        <v>Vérifier la situation avec le référent ou le prestataire. Puis : Préparer l’information des partenaires et les consignes contre les fraudes de rebond.</v>
      </c>
      <c r="E116" s="12" t="s">
        <v>480</v>
      </c>
      <c r="F116" s="22"/>
      <c r="G116" s="23"/>
      <c r="H116" s="22" t="s">
        <v>481</v>
      </c>
      <c r="I116" s="22"/>
      <c r="J116" s="23"/>
      <c r="K116" s="25"/>
      <c r="L116" s="12" t="str">
        <f aca="true">IF(H116="Terminé",IF(OR(F116="",I116="",J116=""),"Clôture à documenter",IF(OR(C116="Maintenir",C116="Hors périmètre"),"Clôturé","Réévaluer le contrôle")),IF(C116="Hors périmètre","Hors périmètre",IF(C116="Maintenir","Maintenir",IF(F116="","Responsable à nommer",IF(G116="","Échéance à fixer",IF(G116&lt;TODAY(),"En retard",H116))))))</f>
        <v>Responsable à nommer</v>
      </c>
      <c r="M116" s="12" t="n">
        <f aca="false">INDEX(Questionnaire!$S$8:$S$119,MATCH(A116,Questionnaire!$A$8:$A$119,0))</f>
        <v>101</v>
      </c>
      <c r="N116" s="26" t="str">
        <f aca="false">IF(OR(Entreprise!$C$11="",C116="Maintenir",C116="Hors périmètre"),"",Entreprise!$C$11+INDEX(Barèmes!$G$7:$G$10,VALUE(RIGHT(C116,1))))</f>
        <v/>
      </c>
    </row>
    <row r="117" customFormat="false" ht="79.5" hidden="false" customHeight="true" outlineLevel="0" collapsed="false">
      <c r="A117" s="12" t="s">
        <v>458</v>
      </c>
      <c r="B117" s="12" t="s">
        <v>33</v>
      </c>
      <c r="C117" s="12" t="str">
        <f aca="false">INDEX(Questionnaire!$R$8:$R$119,MATCH(A117,Questionnaire!$A$8:$A$119,0))</f>
        <v>P3</v>
      </c>
      <c r="D117" s="12" t="str">
        <f aca="false">IF(C117="Hors périmètre","Contrôle exclu du parcours actif.",IF(C117="Maintenir","Conserver la preuve et programmer une nouvelle vérification.",IF(OR(INDEX(Questionnaire!$T$8:$T$119,MATCH(A117,Questionnaire!$A$8:$A$119,0))=0,INDEX(Questionnaire!$V$8:$V$119,MATCH(A117,Questionnaire!$A$8:$A$119,0))=1),"Vérifier la situation avec le référent ou le prestataire. Puis : ","")&amp;INDEX(Repères!$D$26:$D$137,MATCH(A117,Repères!$A$26:$A$137,0))))</f>
        <v>Vérifier la situation avec le référent ou le prestataire. Puis : Évaluer la capacité à tenir et les contrats à traiter en priorité sans inventer de coût standard.</v>
      </c>
      <c r="E117" s="12" t="s">
        <v>482</v>
      </c>
      <c r="F117" s="22"/>
      <c r="G117" s="23"/>
      <c r="H117" s="22" t="s">
        <v>481</v>
      </c>
      <c r="I117" s="22"/>
      <c r="J117" s="23"/>
      <c r="K117" s="25"/>
      <c r="L117" s="12" t="str">
        <f aca="true">IF(H117="Terminé",IF(OR(F117="",I117="",J117=""),"Clôture à documenter",IF(OR(C117="Maintenir",C117="Hors périmètre"),"Clôturé","Réévaluer le contrôle")),IF(C117="Hors périmètre","Hors périmètre",IF(C117="Maintenir","Maintenir",IF(F117="","Responsable à nommer",IF(G117="","Échéance à fixer",IF(G117&lt;TODAY(),"En retard",H117))))))</f>
        <v>Responsable à nommer</v>
      </c>
      <c r="M117" s="12" t="n">
        <f aca="false">INDEX(Questionnaire!$S$8:$S$119,MATCH(A117,Questionnaire!$A$8:$A$119,0))</f>
        <v>102</v>
      </c>
      <c r="N117" s="26" t="str">
        <f aca="false">IF(OR(Entreprise!$C$11="",C117="Maintenir",C117="Hors périmètre"),"",Entreprise!$C$11+INDEX(Barèmes!$G$7:$G$10,VALUE(RIGHT(C117,1))))</f>
        <v/>
      </c>
    </row>
    <row r="118" customFormat="false" ht="79.5" hidden="false" customHeight="true" outlineLevel="0" collapsed="false">
      <c r="A118" s="12" t="s">
        <v>461</v>
      </c>
      <c r="B118" s="12" t="s">
        <v>33</v>
      </c>
      <c r="C118" s="12" t="str">
        <f aca="false">INDEX(Questionnaire!$R$8:$R$119,MATCH(A118,Questionnaire!$A$8:$A$119,0))</f>
        <v>P3</v>
      </c>
      <c r="D118" s="12" t="str">
        <f aca="false">IF(C118="Hors périmètre","Contrôle exclu du parcours actif.",IF(C118="Maintenir","Conserver la preuve et programmer une nouvelle vérification.",IF(OR(INDEX(Questionnaire!$T$8:$T$119,MATCH(A118,Questionnaire!$A$8:$A$119,0))=0,INDEX(Questionnaire!$V$8:$V$119,MATCH(A118,Questionnaire!$A$8:$A$119,0))=1),"Vérifier la situation avec le référent ou le prestataire. Puis : ","")&amp;INDEX(Repères!$D$26:$D$137,MATCH(A118,Repères!$A$26:$A$137,0))))</f>
        <v>Vérifier la situation avec le référent ou le prestataire. Puis : Ne reconnecter qu’après traitement de la cause et validation technique et métier.</v>
      </c>
      <c r="E118" s="12" t="s">
        <v>482</v>
      </c>
      <c r="F118" s="22"/>
      <c r="G118" s="23"/>
      <c r="H118" s="22" t="s">
        <v>481</v>
      </c>
      <c r="I118" s="22"/>
      <c r="J118" s="23"/>
      <c r="K118" s="25"/>
      <c r="L118" s="12" t="str">
        <f aca="true">IF(H118="Terminé",IF(OR(F118="",I118="",J118=""),"Clôture à documenter",IF(OR(C118="Maintenir",C118="Hors périmètre"),"Clôturé","Réévaluer le contrôle")),IF(C118="Hors périmètre","Hors périmètre",IF(C118="Maintenir","Maintenir",IF(F118="","Responsable à nommer",IF(G118="","Échéance à fixer",IF(G118&lt;TODAY(),"En retard",H118))))))</f>
        <v>Responsable à nommer</v>
      </c>
      <c r="M118" s="12" t="n">
        <f aca="false">INDEX(Questionnaire!$S$8:$S$119,MATCH(A118,Questionnaire!$A$8:$A$119,0))</f>
        <v>103</v>
      </c>
      <c r="N118" s="26" t="str">
        <f aca="false">IF(OR(Entreprise!$C$11="",C118="Maintenir",C118="Hors périmètre"),"",Entreprise!$C$11+INDEX(Barèmes!$G$7:$G$10,VALUE(RIGHT(C118,1))))</f>
        <v/>
      </c>
    </row>
    <row r="119" customFormat="false" ht="79.5" hidden="false" customHeight="true" outlineLevel="0" collapsed="false">
      <c r="A119" s="12" t="s">
        <v>464</v>
      </c>
      <c r="B119" s="12" t="s">
        <v>33</v>
      </c>
      <c r="C119" s="12" t="str">
        <f aca="false">INDEX(Questionnaire!$R$8:$R$119,MATCH(A119,Questionnaire!$A$8:$A$119,0))</f>
        <v>P4</v>
      </c>
      <c r="D119" s="12" t="str">
        <f aca="false">IF(C119="Hors périmètre","Contrôle exclu du parcours actif.",IF(C119="Maintenir","Conserver la preuve et programmer une nouvelle vérification.",IF(OR(INDEX(Questionnaire!$T$8:$T$119,MATCH(A119,Questionnaire!$A$8:$A$119,0))=0,INDEX(Questionnaire!$V$8:$V$119,MATCH(A119,Questionnaire!$A$8:$A$119,0))=1),"Vérifier la situation avec le référent ou le prestataire. Puis : ","")&amp;INDEX(Repères!$D$26:$D$137,MATCH(A119,Repères!$A$26:$A$137,0))))</f>
        <v>Vérifier la situation avec le référent ou le prestataire. Puis : Répartir les tâches, prévoir les remplacements et surveiller l’épuisement.</v>
      </c>
      <c r="E119" s="12" t="s">
        <v>480</v>
      </c>
      <c r="F119" s="22"/>
      <c r="G119" s="23"/>
      <c r="H119" s="22" t="s">
        <v>481</v>
      </c>
      <c r="I119" s="22"/>
      <c r="J119" s="23"/>
      <c r="K119" s="25"/>
      <c r="L119" s="12" t="str">
        <f aca="true">IF(H119="Terminé",IF(OR(F119="",I119="",J119=""),"Clôture à documenter",IF(OR(C119="Maintenir",C119="Hors périmètre"),"Clôturé","Réévaluer le contrôle")),IF(C119="Hors périmètre","Hors périmètre",IF(C119="Maintenir","Maintenir",IF(F119="","Responsable à nommer",IF(G119="","Échéance à fixer",IF(G119&lt;TODAY(),"En retard",H119))))))</f>
        <v>Responsable à nommer</v>
      </c>
      <c r="M119" s="12" t="n">
        <f aca="false">INDEX(Questionnaire!$S$8:$S$119,MATCH(A119,Questionnaire!$A$8:$A$119,0))</f>
        <v>112</v>
      </c>
      <c r="N119" s="26" t="str">
        <f aca="false">IF(OR(Entreprise!$C$11="",C119="Maintenir",C119="Hors périmètre"),"",Entreprise!$C$11+INDEX(Barèmes!$G$7:$G$10,VALUE(RIGHT(C119,1))))</f>
        <v/>
      </c>
    </row>
  </sheetData>
  <mergeCells count="3">
    <mergeCell ref="A2:L2"/>
    <mergeCell ref="A3:L3"/>
    <mergeCell ref="A4:L4"/>
  </mergeCells>
  <conditionalFormatting sqref="C8:C119">
    <cfRule type="containsText" priority="2" operator="containsText" aboveAverage="0" equalAverage="0" bottom="0" percent="0" rank="0" text="P1" dxfId="3">
      <formula>NOT(ISERROR(SEARCH("P1",C8)))</formula>
    </cfRule>
  </conditionalFormatting>
  <conditionalFormatting sqref="L8:L119">
    <cfRule type="containsText" priority="3" operator="containsText" aboveAverage="0" equalAverage="0" bottom="0" percent="0" rank="0" text="En retard" dxfId="15">
      <formula>NOT(ISERROR(SEARCH("En retard",L8)))</formula>
    </cfRule>
  </conditionalFormatting>
  <dataValidations count="1">
    <dataValidation allowBlank="false" errorStyle="stop" operator="between" showDropDown="false" showErrorMessage="false" showInputMessage="false" sqref="H8:H119" type="list">
      <formula1>"À décider,À faire,En cours,Bloqué,Terminé"</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1"/>
    <col collapsed="false" customWidth="true" hidden="false" outlineLevel="0" max="3" min="3" style="1" width="16"/>
    <col collapsed="false" customWidth="true" hidden="false" outlineLevel="0" max="4" min="4" style="1" width="70"/>
    <col collapsed="false" customWidth="true" hidden="false" outlineLevel="0" max="5" min="5" style="1" width="4"/>
    <col collapsed="false" customWidth="true" hidden="false" outlineLevel="0" max="6" min="6" style="1" width="30"/>
    <col collapsed="false" customWidth="true" hidden="false" outlineLevel="0" max="7" min="7" style="1" width="56"/>
  </cols>
  <sheetData>
    <row r="1" customFormat="false" ht="15" hidden="false" customHeight="true" outlineLevel="0" collapsed="false">
      <c r="A1" s="2"/>
      <c r="B1" s="2"/>
      <c r="C1" s="2"/>
      <c r="D1" s="2"/>
      <c r="E1" s="2"/>
      <c r="F1" s="2"/>
      <c r="G1" s="2"/>
    </row>
    <row r="2" customFormat="false" ht="30" hidden="false" customHeight="true" outlineLevel="0" collapsed="false">
      <c r="A2" s="2"/>
      <c r="B2" s="3" t="s">
        <v>484</v>
      </c>
      <c r="C2" s="3"/>
      <c r="D2" s="3"/>
      <c r="E2" s="3"/>
      <c r="F2" s="3"/>
      <c r="G2" s="3"/>
    </row>
    <row r="3" customFormat="false" ht="30" hidden="false" customHeight="true" outlineLevel="0" collapsed="false">
      <c r="A3" s="2"/>
      <c r="B3" s="4" t="s">
        <v>485</v>
      </c>
      <c r="C3" s="4"/>
      <c r="D3" s="4"/>
      <c r="E3" s="4"/>
      <c r="F3" s="4"/>
      <c r="G3" s="4"/>
    </row>
    <row r="4" customFormat="false" ht="15" hidden="false" customHeight="true" outlineLevel="0" collapsed="false">
      <c r="A4" s="2"/>
      <c r="B4" s="2"/>
      <c r="C4" s="2"/>
      <c r="D4" s="2"/>
      <c r="E4" s="2"/>
      <c r="F4" s="2"/>
      <c r="G4" s="2"/>
    </row>
    <row r="5" customFormat="false" ht="33.75" hidden="false" customHeight="true" outlineLevel="0" collapsed="false">
      <c r="A5" s="2"/>
      <c r="B5" s="11" t="s">
        <v>486</v>
      </c>
      <c r="C5" s="11" t="s">
        <v>106</v>
      </c>
      <c r="D5" s="11" t="s">
        <v>487</v>
      </c>
      <c r="E5" s="2"/>
      <c r="F5" s="11" t="s">
        <v>488</v>
      </c>
      <c r="G5" s="11" t="s">
        <v>489</v>
      </c>
    </row>
    <row r="6" customFormat="false" ht="31.5" hidden="false" customHeight="true" outlineLevel="0" collapsed="false">
      <c r="A6" s="2"/>
      <c r="B6" s="12" t="s">
        <v>490</v>
      </c>
      <c r="C6" s="27" t="n">
        <v>0</v>
      </c>
      <c r="D6" s="12" t="s">
        <v>491</v>
      </c>
      <c r="E6" s="2"/>
      <c r="F6" s="2" t="s">
        <v>492</v>
      </c>
      <c r="G6" s="28" t="n">
        <v>0.75</v>
      </c>
    </row>
    <row r="7" customFormat="false" ht="31.5" hidden="false" customHeight="true" outlineLevel="0" collapsed="false">
      <c r="A7" s="2"/>
      <c r="B7" s="12" t="s">
        <v>493</v>
      </c>
      <c r="C7" s="27" t="n">
        <v>0.25</v>
      </c>
      <c r="D7" s="12" t="s">
        <v>494</v>
      </c>
      <c r="E7" s="2"/>
      <c r="F7" s="2" t="s">
        <v>495</v>
      </c>
      <c r="G7" s="24" t="n">
        <v>7</v>
      </c>
    </row>
    <row r="8" customFormat="false" ht="31.5" hidden="false" customHeight="true" outlineLevel="0" collapsed="false">
      <c r="A8" s="2"/>
      <c r="B8" s="12" t="s">
        <v>496</v>
      </c>
      <c r="C8" s="27" t="n">
        <v>0.5</v>
      </c>
      <c r="D8" s="12" t="s">
        <v>497</v>
      </c>
      <c r="E8" s="2"/>
      <c r="F8" s="2" t="s">
        <v>498</v>
      </c>
      <c r="G8" s="24" t="n">
        <v>30</v>
      </c>
    </row>
    <row r="9" customFormat="false" ht="31.5" hidden="false" customHeight="true" outlineLevel="0" collapsed="false">
      <c r="A9" s="2"/>
      <c r="B9" s="12" t="s">
        <v>499</v>
      </c>
      <c r="C9" s="27" t="n">
        <v>0.75</v>
      </c>
      <c r="D9" s="12" t="s">
        <v>500</v>
      </c>
      <c r="E9" s="2"/>
      <c r="F9" s="2" t="s">
        <v>501</v>
      </c>
      <c r="G9" s="24" t="n">
        <v>90</v>
      </c>
    </row>
    <row r="10" customFormat="false" ht="31.5" hidden="false" customHeight="true" outlineLevel="0" collapsed="false">
      <c r="A10" s="2"/>
      <c r="B10" s="12" t="s">
        <v>502</v>
      </c>
      <c r="C10" s="27" t="n">
        <v>1</v>
      </c>
      <c r="D10" s="12" t="s">
        <v>503</v>
      </c>
      <c r="E10" s="2"/>
      <c r="F10" s="2" t="s">
        <v>504</v>
      </c>
      <c r="G10" s="24" t="n">
        <v>180</v>
      </c>
    </row>
    <row r="11" customFormat="false" ht="31.5" hidden="false" customHeight="true" outlineLevel="0" collapsed="false">
      <c r="A11" s="2"/>
      <c r="B11" s="12" t="s">
        <v>505</v>
      </c>
      <c r="C11" s="27" t="n">
        <v>0</v>
      </c>
      <c r="D11" s="12" t="s">
        <v>506</v>
      </c>
      <c r="E11" s="2"/>
      <c r="F11" s="2" t="s">
        <v>507</v>
      </c>
      <c r="G11" s="2" t="n">
        <v>1</v>
      </c>
    </row>
    <row r="12" customFormat="false" ht="31.5" hidden="false" customHeight="true" outlineLevel="0" collapsed="false">
      <c r="A12" s="2"/>
      <c r="B12" s="2"/>
      <c r="C12" s="2"/>
      <c r="D12" s="2"/>
      <c r="E12" s="2"/>
      <c r="F12" s="2" t="s">
        <v>508</v>
      </c>
      <c r="G12" s="2" t="n">
        <v>3</v>
      </c>
    </row>
    <row r="13" customFormat="false" ht="15" hidden="false" customHeight="true" outlineLevel="0" collapsed="false">
      <c r="A13" s="2"/>
      <c r="B13" s="2"/>
      <c r="C13" s="2"/>
      <c r="D13" s="2"/>
      <c r="E13" s="2"/>
      <c r="F13" s="2"/>
      <c r="G13" s="2"/>
    </row>
    <row r="14" customFormat="false" ht="15" hidden="false" customHeight="true" outlineLevel="0" collapsed="false">
      <c r="A14" s="2"/>
      <c r="B14" s="2"/>
      <c r="C14" s="2"/>
      <c r="D14" s="2"/>
      <c r="E14" s="2"/>
      <c r="F14" s="2"/>
      <c r="G14" s="2"/>
    </row>
    <row r="15" customFormat="false" ht="30.75" hidden="false" customHeight="true" outlineLevel="0" collapsed="false">
      <c r="A15" s="2"/>
      <c r="B15" s="11" t="s">
        <v>509</v>
      </c>
      <c r="C15" s="11" t="s">
        <v>510</v>
      </c>
      <c r="D15" s="11" t="s">
        <v>511</v>
      </c>
      <c r="E15" s="2"/>
      <c r="F15" s="4" t="s">
        <v>512</v>
      </c>
      <c r="G15" s="4"/>
    </row>
    <row r="16" customFormat="false" ht="30.75" hidden="false" customHeight="true" outlineLevel="0" collapsed="false">
      <c r="A16" s="2"/>
      <c r="B16" s="22" t="n">
        <v>0</v>
      </c>
      <c r="C16" s="12" t="s">
        <v>513</v>
      </c>
      <c r="D16" s="12" t="s">
        <v>514</v>
      </c>
      <c r="E16" s="2"/>
      <c r="F16" s="4"/>
      <c r="G16" s="4"/>
    </row>
    <row r="17" customFormat="false" ht="30.75" hidden="false" customHeight="true" outlineLevel="0" collapsed="false">
      <c r="A17" s="2"/>
      <c r="B17" s="22" t="n">
        <v>20</v>
      </c>
      <c r="C17" s="12" t="s">
        <v>515</v>
      </c>
      <c r="D17" s="12" t="s">
        <v>516</v>
      </c>
      <c r="E17" s="2"/>
      <c r="F17" s="4"/>
      <c r="G17" s="4"/>
    </row>
    <row r="18" customFormat="false" ht="30.75" hidden="false" customHeight="true" outlineLevel="0" collapsed="false">
      <c r="A18" s="2"/>
      <c r="B18" s="22" t="n">
        <v>40</v>
      </c>
      <c r="C18" s="12" t="s">
        <v>517</v>
      </c>
      <c r="D18" s="12" t="s">
        <v>518</v>
      </c>
      <c r="E18" s="2"/>
      <c r="F18" s="4"/>
      <c r="G18" s="4"/>
    </row>
    <row r="19" customFormat="false" ht="30.75" hidden="false" customHeight="true" outlineLevel="0" collapsed="false">
      <c r="A19" s="2"/>
      <c r="B19" s="22" t="n">
        <v>60</v>
      </c>
      <c r="C19" s="12" t="s">
        <v>519</v>
      </c>
      <c r="D19" s="12" t="s">
        <v>520</v>
      </c>
      <c r="E19" s="2"/>
      <c r="F19" s="4"/>
      <c r="G19" s="4"/>
    </row>
    <row r="20" customFormat="false" ht="39.75" hidden="false" customHeight="true" outlineLevel="0" collapsed="false">
      <c r="A20" s="2"/>
      <c r="B20" s="22" t="n">
        <v>80</v>
      </c>
      <c r="C20" s="12" t="s">
        <v>521</v>
      </c>
      <c r="D20" s="12" t="s">
        <v>522</v>
      </c>
      <c r="E20" s="2"/>
      <c r="F20" s="2"/>
      <c r="G20" s="2"/>
    </row>
    <row r="21" customFormat="false" ht="33.75" hidden="false" customHeight="true" outlineLevel="0" collapsed="false">
      <c r="A21" s="2"/>
      <c r="B21" s="4" t="s">
        <v>523</v>
      </c>
      <c r="C21" s="4"/>
      <c r="D21" s="4"/>
      <c r="E21" s="4"/>
      <c r="F21" s="4"/>
      <c r="G21" s="4"/>
    </row>
    <row r="22" customFormat="false" ht="15" hidden="false" customHeight="true" outlineLevel="0" collapsed="false">
      <c r="A22" s="2"/>
      <c r="B22" s="2"/>
      <c r="C22" s="2"/>
      <c r="D22" s="2"/>
      <c r="E22" s="2"/>
      <c r="F22" s="2"/>
      <c r="G22" s="2"/>
    </row>
    <row r="23" customFormat="false" ht="27.75" hidden="false" customHeight="true" outlineLevel="0" collapsed="false">
      <c r="A23" s="2"/>
      <c r="B23" s="4" t="s">
        <v>524</v>
      </c>
      <c r="C23" s="4"/>
      <c r="D23" s="4"/>
      <c r="E23" s="4"/>
      <c r="F23" s="4"/>
      <c r="G23" s="4"/>
    </row>
    <row r="24" customFormat="false" ht="27.75" hidden="false" customHeight="true" outlineLevel="0" collapsed="false">
      <c r="A24" s="2"/>
      <c r="B24" s="4"/>
      <c r="C24" s="4"/>
      <c r="D24" s="4"/>
      <c r="E24" s="4"/>
      <c r="F24" s="4"/>
      <c r="G24" s="4"/>
    </row>
    <row r="25" customFormat="false" ht="27.75" hidden="false" customHeight="true" outlineLevel="0" collapsed="false">
      <c r="A25" s="2"/>
      <c r="B25" s="4"/>
      <c r="C25" s="4"/>
      <c r="D25" s="4"/>
      <c r="E25" s="4"/>
      <c r="F25" s="4"/>
      <c r="G25" s="4"/>
    </row>
    <row r="26" customFormat="false" ht="15" hidden="false" customHeight="true" outlineLevel="0" collapsed="false">
      <c r="A26" s="2"/>
      <c r="B26" s="2"/>
      <c r="C26" s="2"/>
      <c r="D26" s="2"/>
      <c r="E26" s="2"/>
      <c r="F26" s="2"/>
      <c r="G26" s="2"/>
    </row>
    <row r="27" customFormat="false" ht="28.5" hidden="false" customHeight="true" outlineLevel="0" collapsed="false">
      <c r="A27" s="2"/>
      <c r="B27" s="4" t="s">
        <v>525</v>
      </c>
      <c r="C27" s="4"/>
      <c r="D27" s="4"/>
      <c r="E27" s="4"/>
      <c r="F27" s="4"/>
      <c r="G27" s="4"/>
    </row>
    <row r="28" customFormat="false" ht="28.5" hidden="false" customHeight="true" outlineLevel="0" collapsed="false">
      <c r="A28" s="2"/>
      <c r="B28" s="4"/>
      <c r="C28" s="4"/>
      <c r="D28" s="4"/>
      <c r="E28" s="4"/>
      <c r="F28" s="4"/>
      <c r="G28" s="4"/>
    </row>
    <row r="29" customFormat="false" ht="28.5" hidden="false" customHeight="true" outlineLevel="0" collapsed="false">
      <c r="A29" s="2"/>
      <c r="B29" s="4"/>
      <c r="C29" s="4"/>
      <c r="D29" s="4"/>
      <c r="E29" s="4"/>
      <c r="F29" s="4"/>
      <c r="G29" s="4"/>
    </row>
    <row r="30" customFormat="false" ht="28.5" hidden="false" customHeight="true" outlineLevel="0" collapsed="false">
      <c r="A30" s="2"/>
      <c r="B30" s="4"/>
      <c r="C30" s="4"/>
      <c r="D30" s="4"/>
      <c r="E30" s="4"/>
      <c r="F30" s="4"/>
      <c r="G30" s="4"/>
    </row>
    <row r="31" customFormat="false" ht="15" hidden="false" customHeight="true" outlineLevel="0" collapsed="false">
      <c r="A31" s="2"/>
      <c r="B31" s="2"/>
      <c r="C31" s="2"/>
      <c r="D31" s="2"/>
      <c r="E31" s="2"/>
      <c r="F31" s="2"/>
      <c r="G31" s="2"/>
    </row>
    <row r="32" customFormat="false" ht="28.5" hidden="false" customHeight="true" outlineLevel="0" collapsed="false">
      <c r="A32" s="2"/>
      <c r="B32" s="4" t="s">
        <v>526</v>
      </c>
      <c r="C32" s="4"/>
      <c r="D32" s="4"/>
      <c r="E32" s="4"/>
      <c r="F32" s="4"/>
      <c r="G32" s="4"/>
    </row>
    <row r="33" customFormat="false" ht="28.5" hidden="false" customHeight="true" outlineLevel="0" collapsed="false">
      <c r="A33" s="2"/>
      <c r="B33" s="4"/>
      <c r="C33" s="4"/>
      <c r="D33" s="4"/>
      <c r="E33" s="4"/>
      <c r="F33" s="4"/>
      <c r="G33" s="4"/>
    </row>
    <row r="34" customFormat="false" ht="28.5" hidden="false" customHeight="true" outlineLevel="0" collapsed="false">
      <c r="A34" s="2"/>
      <c r="B34" s="4"/>
      <c r="C34" s="4"/>
      <c r="D34" s="4"/>
      <c r="E34" s="4"/>
      <c r="F34" s="4"/>
      <c r="G34" s="4"/>
    </row>
    <row r="35" customFormat="false" ht="28.5" hidden="false" customHeight="true" outlineLevel="0" collapsed="false">
      <c r="A35" s="2"/>
      <c r="B35" s="4"/>
      <c r="C35" s="4"/>
      <c r="D35" s="4"/>
      <c r="E35" s="4"/>
      <c r="F35" s="4"/>
      <c r="G35" s="4"/>
    </row>
    <row r="36" customFormat="false" ht="15" hidden="false" customHeight="true" outlineLevel="0" collapsed="false">
      <c r="A36" s="2"/>
      <c r="B36" s="2"/>
      <c r="C36" s="2"/>
      <c r="D36" s="2"/>
      <c r="E36" s="2"/>
      <c r="F36" s="2"/>
      <c r="G36" s="2"/>
    </row>
    <row r="37" customFormat="false" ht="15" hidden="false" customHeight="true" outlineLevel="0" collapsed="false">
      <c r="A37" s="2"/>
      <c r="B37" s="2"/>
      <c r="C37" s="2"/>
      <c r="D37" s="2"/>
      <c r="E37" s="2"/>
      <c r="F37" s="2"/>
      <c r="G37" s="2"/>
    </row>
    <row r="38" customFormat="false" ht="15" hidden="false" customHeight="true" outlineLevel="0" collapsed="false">
      <c r="A38" s="2"/>
      <c r="B38" s="2"/>
      <c r="C38" s="2"/>
      <c r="D38" s="2"/>
      <c r="E38" s="2"/>
      <c r="F38" s="2"/>
      <c r="G38" s="2"/>
    </row>
    <row r="39" customFormat="false" ht="15" hidden="false" customHeight="true" outlineLevel="0" collapsed="false">
      <c r="A39" s="2"/>
      <c r="B39" s="2"/>
      <c r="C39" s="2"/>
      <c r="D39" s="2"/>
      <c r="E39" s="2"/>
      <c r="F39" s="2"/>
      <c r="G39" s="2"/>
    </row>
  </sheetData>
  <mergeCells count="7">
    <mergeCell ref="B2:G2"/>
    <mergeCell ref="B3:G3"/>
    <mergeCell ref="F15:G19"/>
    <mergeCell ref="B21:G21"/>
    <mergeCell ref="B23:G25"/>
    <mergeCell ref="B27:G30"/>
    <mergeCell ref="B32:G35"/>
  </mergeCells>
  <dataValidations count="1">
    <dataValidation allowBlank="false" errorStyle="stop" operator="between" showDropDown="false" showErrorMessage="false" showInputMessage="false" sqref="C6:C11" type="decimal">
      <formula1>0</formula1>
      <formula2>1</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27"/>
    <col collapsed="false" customWidth="true" hidden="false" outlineLevel="0" max="3" min="3" style="1" width="13"/>
    <col collapsed="false" customWidth="true" hidden="false" outlineLevel="0" max="4" min="4" style="1" width="14"/>
    <col collapsed="false" customWidth="true" hidden="false" outlineLevel="0" max="5" min="5" style="1" width="62"/>
    <col collapsed="false" customWidth="true" hidden="false" outlineLevel="0" max="6" min="6" style="1" width="76"/>
    <col collapsed="false" customWidth="true" hidden="false" outlineLevel="0" max="7" min="7" style="1" width="72"/>
    <col collapsed="false" customWidth="true" hidden="false" outlineLevel="0" max="8" min="8" style="1" width="74"/>
    <col collapsed="false" customWidth="true" hidden="false" outlineLevel="0" max="9" min="9" style="1" width="26"/>
  </cols>
  <sheetData>
    <row r="2" customFormat="false" ht="30" hidden="false" customHeight="true" outlineLevel="0" collapsed="false">
      <c r="B2" s="29" t="s">
        <v>527</v>
      </c>
    </row>
    <row r="3" customFormat="false" ht="31.5" hidden="false" customHeight="true" outlineLevel="0" collapsed="false">
      <c r="B3" s="4" t="s">
        <v>528</v>
      </c>
      <c r="C3" s="4"/>
      <c r="D3" s="4"/>
      <c r="E3" s="4"/>
      <c r="F3" s="4"/>
      <c r="G3" s="4"/>
      <c r="H3" s="4"/>
      <c r="I3" s="4"/>
    </row>
    <row r="5" customFormat="false" ht="39.75" hidden="false" customHeight="true" outlineLevel="0" collapsed="false">
      <c r="B5" s="11" t="s">
        <v>529</v>
      </c>
      <c r="C5" s="11" t="s">
        <v>509</v>
      </c>
      <c r="D5" s="11" t="s">
        <v>530</v>
      </c>
      <c r="E5" s="11" t="s">
        <v>531</v>
      </c>
      <c r="F5" s="11" t="s">
        <v>532</v>
      </c>
      <c r="G5" s="11" t="s">
        <v>533</v>
      </c>
      <c r="H5" s="11" t="s">
        <v>534</v>
      </c>
      <c r="I5" s="11" t="s">
        <v>535</v>
      </c>
    </row>
    <row r="6" customFormat="false" ht="136.5" hidden="false" customHeight="true" outlineLevel="0" collapsed="false">
      <c r="B6" s="30" t="s">
        <v>513</v>
      </c>
      <c r="C6" s="31" t="n">
        <v>0</v>
      </c>
      <c r="D6" s="31" t="s">
        <v>536</v>
      </c>
      <c r="E6" s="32" t="s">
        <v>537</v>
      </c>
      <c r="F6" s="32" t="s">
        <v>538</v>
      </c>
      <c r="G6" s="32" t="s">
        <v>539</v>
      </c>
      <c r="H6" s="32" t="s">
        <v>540</v>
      </c>
      <c r="I6" s="32" t="s">
        <v>541</v>
      </c>
    </row>
    <row r="7" customFormat="false" ht="117.75" hidden="false" customHeight="true" outlineLevel="0" collapsed="false">
      <c r="B7" s="33" t="s">
        <v>515</v>
      </c>
      <c r="C7" s="12" t="n">
        <v>20</v>
      </c>
      <c r="D7" s="12" t="s">
        <v>542</v>
      </c>
      <c r="E7" s="34" t="s">
        <v>543</v>
      </c>
      <c r="F7" s="34" t="s">
        <v>544</v>
      </c>
      <c r="G7" s="34" t="s">
        <v>545</v>
      </c>
      <c r="H7" s="34" t="s">
        <v>546</v>
      </c>
      <c r="I7" s="34" t="s">
        <v>547</v>
      </c>
    </row>
    <row r="8" customFormat="false" ht="117.75" hidden="false" customHeight="true" outlineLevel="0" collapsed="false">
      <c r="B8" s="30" t="s">
        <v>517</v>
      </c>
      <c r="C8" s="31" t="n">
        <v>40</v>
      </c>
      <c r="D8" s="31" t="s">
        <v>548</v>
      </c>
      <c r="E8" s="32" t="s">
        <v>549</v>
      </c>
      <c r="F8" s="32" t="s">
        <v>550</v>
      </c>
      <c r="G8" s="32" t="s">
        <v>551</v>
      </c>
      <c r="H8" s="32" t="s">
        <v>552</v>
      </c>
      <c r="I8" s="32" t="s">
        <v>553</v>
      </c>
    </row>
    <row r="9" customFormat="false" ht="117.75" hidden="false" customHeight="true" outlineLevel="0" collapsed="false">
      <c r="B9" s="33" t="s">
        <v>519</v>
      </c>
      <c r="C9" s="12" t="n">
        <v>60</v>
      </c>
      <c r="D9" s="12" t="s">
        <v>554</v>
      </c>
      <c r="E9" s="34" t="s">
        <v>555</v>
      </c>
      <c r="F9" s="34" t="s">
        <v>556</v>
      </c>
      <c r="G9" s="34" t="s">
        <v>557</v>
      </c>
      <c r="H9" s="34" t="s">
        <v>558</v>
      </c>
      <c r="I9" s="34" t="s">
        <v>559</v>
      </c>
    </row>
    <row r="10" customFormat="false" ht="117.75" hidden="false" customHeight="true" outlineLevel="0" collapsed="false">
      <c r="B10" s="30" t="s">
        <v>521</v>
      </c>
      <c r="C10" s="31" t="n">
        <v>80</v>
      </c>
      <c r="D10" s="31" t="s">
        <v>560</v>
      </c>
      <c r="E10" s="32" t="s">
        <v>561</v>
      </c>
      <c r="F10" s="32" t="s">
        <v>562</v>
      </c>
      <c r="G10" s="32" t="s">
        <v>563</v>
      </c>
      <c r="H10" s="32" t="s">
        <v>564</v>
      </c>
      <c r="I10" s="32" t="s">
        <v>565</v>
      </c>
    </row>
    <row r="13" customFormat="false" ht="25.5" hidden="false" customHeight="true" outlineLevel="0" collapsed="false">
      <c r="B13" s="35" t="s">
        <v>566</v>
      </c>
    </row>
    <row r="14" customFormat="false" ht="33.75" hidden="false" customHeight="true" outlineLevel="0" collapsed="false">
      <c r="B14" s="33" t="s">
        <v>2</v>
      </c>
      <c r="C14" s="36" t="str">
        <f aca="false">IF(Résultat!$C$8="","",Résultat!$C$8)</f>
        <v/>
      </c>
      <c r="E14" s="4" t="s">
        <v>567</v>
      </c>
      <c r="F14" s="4"/>
      <c r="G14" s="4"/>
      <c r="H14" s="4"/>
      <c r="I14" s="4"/>
    </row>
    <row r="15" customFormat="false" ht="33.75" hidden="false" customHeight="true" outlineLevel="0" collapsed="false">
      <c r="B15" s="33" t="s">
        <v>568</v>
      </c>
      <c r="C15" s="37" t="str">
        <f aca="false">IF(Résultat!$C$8="","",MATCH(Résultat!$C$8,$C$6:$C$10,1))</f>
        <v/>
      </c>
      <c r="E15" s="4" t="s">
        <v>569</v>
      </c>
      <c r="F15" s="4"/>
      <c r="G15" s="4"/>
      <c r="H15" s="4"/>
      <c r="I15" s="4"/>
    </row>
    <row r="16" customFormat="false" ht="33.75" hidden="false" customHeight="true" outlineLevel="0" collapsed="false">
      <c r="B16" s="33" t="s">
        <v>49</v>
      </c>
      <c r="C16" s="38" t="str">
        <f aca="false">IF($C$15="","Non calculé",INDEX($B$6:$B$10,$C$15))</f>
        <v>Non calculé</v>
      </c>
      <c r="E16" s="4" t="s">
        <v>570</v>
      </c>
      <c r="F16" s="4"/>
      <c r="G16" s="4"/>
      <c r="H16" s="4"/>
      <c r="I16" s="4"/>
    </row>
    <row r="17" customFormat="false" ht="33.75" hidden="false" customHeight="true" outlineLevel="0" collapsed="false">
      <c r="B17" s="33" t="s">
        <v>571</v>
      </c>
      <c r="C17" s="38" t="str">
        <f aca="false">IF($C$15="","",IF($C$15&gt;=5,"Palier le plus élevé",INDEX($B$6:$B$10,$C$15+1)))</f>
        <v/>
      </c>
      <c r="E17" s="4" t="s">
        <v>572</v>
      </c>
      <c r="F17" s="4"/>
      <c r="G17" s="4"/>
      <c r="H17" s="4"/>
      <c r="I17" s="4"/>
    </row>
    <row r="18" customFormat="false" ht="33.75" hidden="false" customHeight="true" outlineLevel="0" collapsed="false">
      <c r="B18" s="33" t="s">
        <v>573</v>
      </c>
      <c r="C18" s="36" t="str">
        <f aca="false">IF($C$15="","",IF($C$15&gt;=5,0,INDEX($C$6:$C$10,$C$15+1)-Résultat!$C$8))</f>
        <v/>
      </c>
      <c r="E18" s="4" t="s">
        <v>574</v>
      </c>
      <c r="F18" s="4"/>
      <c r="G18" s="4"/>
      <c r="H18" s="4"/>
      <c r="I18" s="4"/>
    </row>
    <row r="21" customFormat="false" ht="25.5" hidden="false" customHeight="true" outlineLevel="0" collapsed="false">
      <c r="B21" s="35" t="s">
        <v>575</v>
      </c>
    </row>
    <row r="22" customFormat="false" ht="51.75" hidden="false" customHeight="true" outlineLevel="0" collapsed="false">
      <c r="B22" s="33" t="s">
        <v>576</v>
      </c>
      <c r="E22" s="10" t="s">
        <v>577</v>
      </c>
      <c r="F22" s="10"/>
      <c r="G22" s="10"/>
      <c r="H22" s="10"/>
      <c r="I22" s="10"/>
    </row>
    <row r="23" customFormat="false" ht="51.75" hidden="false" customHeight="true" outlineLevel="0" collapsed="false">
      <c r="B23" s="33" t="s">
        <v>578</v>
      </c>
      <c r="E23" s="10" t="s">
        <v>579</v>
      </c>
      <c r="F23" s="10"/>
      <c r="G23" s="10"/>
      <c r="H23" s="10"/>
      <c r="I23" s="10"/>
    </row>
    <row r="24" customFormat="false" ht="51.75" hidden="false" customHeight="true" outlineLevel="0" collapsed="false">
      <c r="B24" s="33" t="s">
        <v>580</v>
      </c>
      <c r="E24" s="10" t="s">
        <v>581</v>
      </c>
      <c r="F24" s="10"/>
      <c r="G24" s="10"/>
      <c r="H24" s="10"/>
      <c r="I24" s="10"/>
    </row>
    <row r="25" customFormat="false" ht="51.75" hidden="false" customHeight="true" outlineLevel="0" collapsed="false">
      <c r="B25" s="33" t="s">
        <v>582</v>
      </c>
      <c r="E25" s="10" t="s">
        <v>583</v>
      </c>
      <c r="F25" s="10"/>
      <c r="G25" s="10"/>
      <c r="H25" s="10"/>
      <c r="I25" s="10"/>
    </row>
    <row r="26" customFormat="false" ht="51.75" hidden="false" customHeight="true" outlineLevel="0" collapsed="false">
      <c r="B26" s="33" t="s">
        <v>584</v>
      </c>
      <c r="E26" s="10" t="s">
        <v>585</v>
      </c>
      <c r="F26" s="10"/>
      <c r="G26" s="10"/>
      <c r="H26" s="10"/>
      <c r="I26" s="10"/>
    </row>
    <row r="28" customFormat="false" ht="27.75" hidden="false" customHeight="true" outlineLevel="0" collapsed="false">
      <c r="B28" s="4" t="s">
        <v>586</v>
      </c>
      <c r="C28" s="4"/>
      <c r="D28" s="4"/>
      <c r="E28" s="4"/>
      <c r="F28" s="4"/>
      <c r="G28" s="4"/>
      <c r="H28" s="4"/>
      <c r="I28" s="4"/>
    </row>
    <row r="29" customFormat="false" ht="27.75" hidden="false" customHeight="true" outlineLevel="0" collapsed="false">
      <c r="B29" s="4"/>
      <c r="C29" s="4"/>
      <c r="D29" s="4"/>
      <c r="E29" s="4"/>
      <c r="F29" s="4"/>
      <c r="G29" s="4"/>
      <c r="H29" s="4"/>
      <c r="I29" s="4"/>
    </row>
  </sheetData>
  <mergeCells count="12">
    <mergeCell ref="B3:I3"/>
    <mergeCell ref="E14:I14"/>
    <mergeCell ref="E15:I15"/>
    <mergeCell ref="E16:I16"/>
    <mergeCell ref="E17:I17"/>
    <mergeCell ref="E18:I18"/>
    <mergeCell ref="E22:I22"/>
    <mergeCell ref="E23:I23"/>
    <mergeCell ref="E24:I24"/>
    <mergeCell ref="E25:I25"/>
    <mergeCell ref="E26:I26"/>
    <mergeCell ref="B28:I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29"/>
    <col collapsed="false" customWidth="true" hidden="false" outlineLevel="0" max="3" min="3" style="1" width="36"/>
    <col collapsed="false" customWidth="true" hidden="false" outlineLevel="0" max="5" min="4" style="1" width="72"/>
    <col collapsed="false" customWidth="true" hidden="false" outlineLevel="0" max="6" min="6" style="1" width="45"/>
  </cols>
  <sheetData>
    <row r="1" customFormat="false" ht="15" hidden="false" customHeight="true" outlineLevel="0" collapsed="false">
      <c r="A1" s="2"/>
      <c r="B1" s="2"/>
      <c r="C1" s="2"/>
      <c r="D1" s="2"/>
      <c r="E1" s="2"/>
      <c r="F1" s="2"/>
    </row>
    <row r="2" customFormat="false" ht="30" hidden="false" customHeight="true" outlineLevel="0" collapsed="false">
      <c r="A2" s="3" t="s">
        <v>587</v>
      </c>
      <c r="B2" s="3"/>
      <c r="C2" s="3"/>
      <c r="D2" s="3"/>
      <c r="E2" s="3"/>
      <c r="F2" s="3"/>
    </row>
    <row r="3" customFormat="false" ht="30" hidden="false" customHeight="true" outlineLevel="0" collapsed="false">
      <c r="A3" s="4" t="s">
        <v>588</v>
      </c>
      <c r="B3" s="4"/>
      <c r="C3" s="4"/>
      <c r="D3" s="4"/>
      <c r="E3" s="4"/>
      <c r="F3" s="4"/>
    </row>
    <row r="4" customFormat="false" ht="15" hidden="false" customHeight="true" outlineLevel="0" collapsed="false">
      <c r="A4" s="2"/>
      <c r="B4" s="2"/>
      <c r="C4" s="2"/>
      <c r="D4" s="2"/>
      <c r="E4" s="2"/>
      <c r="F4" s="2"/>
    </row>
    <row r="5" customFormat="false" ht="33.75" hidden="false" customHeight="true" outlineLevel="0" collapsed="false">
      <c r="A5" s="11" t="s">
        <v>589</v>
      </c>
      <c r="B5" s="11" t="s">
        <v>11</v>
      </c>
      <c r="C5" s="11" t="s">
        <v>590</v>
      </c>
      <c r="D5" s="11" t="s">
        <v>591</v>
      </c>
      <c r="E5" s="11" t="s">
        <v>592</v>
      </c>
      <c r="F5" s="11" t="s">
        <v>593</v>
      </c>
    </row>
    <row r="6" customFormat="false" ht="66" hidden="false" customHeight="true" outlineLevel="0" collapsed="false">
      <c r="A6" s="12" t="s">
        <v>594</v>
      </c>
      <c r="B6" s="12" t="s">
        <v>18</v>
      </c>
      <c r="C6" s="12" t="s">
        <v>41</v>
      </c>
      <c r="D6" s="12" t="s">
        <v>595</v>
      </c>
      <c r="E6" s="12" t="s">
        <v>596</v>
      </c>
      <c r="F6" s="12" t="s">
        <v>597</v>
      </c>
    </row>
    <row r="7" customFormat="false" ht="66" hidden="false" customHeight="true" outlineLevel="0" collapsed="false">
      <c r="A7" s="12" t="s">
        <v>598</v>
      </c>
      <c r="B7" s="12" t="s">
        <v>19</v>
      </c>
      <c r="C7" s="12" t="s">
        <v>41</v>
      </c>
      <c r="D7" s="12" t="s">
        <v>599</v>
      </c>
      <c r="E7" s="12" t="s">
        <v>600</v>
      </c>
      <c r="F7" s="12" t="s">
        <v>601</v>
      </c>
    </row>
    <row r="8" customFormat="false" ht="66" hidden="false" customHeight="true" outlineLevel="0" collapsed="false">
      <c r="A8" s="12" t="s">
        <v>602</v>
      </c>
      <c r="B8" s="12" t="s">
        <v>20</v>
      </c>
      <c r="C8" s="12" t="s">
        <v>603</v>
      </c>
      <c r="D8" s="12" t="s">
        <v>604</v>
      </c>
      <c r="E8" s="12" t="s">
        <v>605</v>
      </c>
      <c r="F8" s="12" t="s">
        <v>606</v>
      </c>
    </row>
    <row r="9" customFormat="false" ht="66" hidden="false" customHeight="true" outlineLevel="0" collapsed="false">
      <c r="A9" s="12" t="s">
        <v>607</v>
      </c>
      <c r="B9" s="12" t="s">
        <v>21</v>
      </c>
      <c r="C9" s="12" t="s">
        <v>603</v>
      </c>
      <c r="D9" s="12" t="s">
        <v>608</v>
      </c>
      <c r="E9" s="12" t="s">
        <v>609</v>
      </c>
      <c r="F9" s="12" t="s">
        <v>610</v>
      </c>
    </row>
    <row r="10" customFormat="false" ht="66" hidden="false" customHeight="true" outlineLevel="0" collapsed="false">
      <c r="A10" s="12" t="s">
        <v>611</v>
      </c>
      <c r="B10" s="12" t="s">
        <v>22</v>
      </c>
      <c r="C10" s="12" t="s">
        <v>612</v>
      </c>
      <c r="D10" s="12" t="s">
        <v>613</v>
      </c>
      <c r="E10" s="12" t="s">
        <v>614</v>
      </c>
      <c r="F10" s="12" t="s">
        <v>615</v>
      </c>
    </row>
    <row r="11" customFormat="false" ht="66" hidden="false" customHeight="true" outlineLevel="0" collapsed="false">
      <c r="A11" s="12" t="s">
        <v>616</v>
      </c>
      <c r="B11" s="12" t="s">
        <v>23</v>
      </c>
      <c r="C11" s="12" t="s">
        <v>617</v>
      </c>
      <c r="D11" s="12" t="s">
        <v>618</v>
      </c>
      <c r="E11" s="12" t="s">
        <v>619</v>
      </c>
      <c r="F11" s="12" t="s">
        <v>620</v>
      </c>
    </row>
    <row r="12" customFormat="false" ht="66" hidden="false" customHeight="true" outlineLevel="0" collapsed="false">
      <c r="A12" s="12" t="s">
        <v>621</v>
      </c>
      <c r="B12" s="12" t="s">
        <v>25</v>
      </c>
      <c r="C12" s="12" t="s">
        <v>622</v>
      </c>
      <c r="D12" s="12" t="s">
        <v>623</v>
      </c>
      <c r="E12" s="12" t="s">
        <v>624</v>
      </c>
      <c r="F12" s="12" t="s">
        <v>625</v>
      </c>
    </row>
    <row r="13" customFormat="false" ht="66" hidden="false" customHeight="true" outlineLevel="0" collapsed="false">
      <c r="A13" s="12" t="s">
        <v>626</v>
      </c>
      <c r="B13" s="12" t="s">
        <v>26</v>
      </c>
      <c r="C13" s="12" t="s">
        <v>617</v>
      </c>
      <c r="D13" s="12" t="s">
        <v>627</v>
      </c>
      <c r="E13" s="12" t="s">
        <v>628</v>
      </c>
      <c r="F13" s="12" t="s">
        <v>629</v>
      </c>
    </row>
    <row r="14" customFormat="false" ht="66" hidden="false" customHeight="true" outlineLevel="0" collapsed="false">
      <c r="A14" s="12" t="s">
        <v>630</v>
      </c>
      <c r="B14" s="12" t="s">
        <v>27</v>
      </c>
      <c r="C14" s="12" t="s">
        <v>617</v>
      </c>
      <c r="D14" s="12" t="s">
        <v>631</v>
      </c>
      <c r="E14" s="12" t="s">
        <v>632</v>
      </c>
      <c r="F14" s="12" t="s">
        <v>633</v>
      </c>
    </row>
    <row r="15" customFormat="false" ht="66" hidden="false" customHeight="true" outlineLevel="0" collapsed="false">
      <c r="A15" s="12" t="s">
        <v>634</v>
      </c>
      <c r="B15" s="12" t="s">
        <v>28</v>
      </c>
      <c r="C15" s="12" t="s">
        <v>617</v>
      </c>
      <c r="D15" s="12" t="s">
        <v>635</v>
      </c>
      <c r="E15" s="12" t="s">
        <v>636</v>
      </c>
      <c r="F15" s="12" t="s">
        <v>637</v>
      </c>
    </row>
    <row r="16" customFormat="false" ht="66" hidden="false" customHeight="true" outlineLevel="0" collapsed="false">
      <c r="A16" s="12" t="s">
        <v>638</v>
      </c>
      <c r="B16" s="12" t="s">
        <v>29</v>
      </c>
      <c r="C16" s="12" t="s">
        <v>617</v>
      </c>
      <c r="D16" s="12" t="s">
        <v>639</v>
      </c>
      <c r="E16" s="12" t="s">
        <v>640</v>
      </c>
      <c r="F16" s="12" t="s">
        <v>641</v>
      </c>
    </row>
    <row r="17" customFormat="false" ht="66" hidden="false" customHeight="true" outlineLevel="0" collapsed="false">
      <c r="A17" s="12" t="s">
        <v>642</v>
      </c>
      <c r="B17" s="12" t="s">
        <v>30</v>
      </c>
      <c r="C17" s="12" t="s">
        <v>622</v>
      </c>
      <c r="D17" s="12" t="s">
        <v>643</v>
      </c>
      <c r="E17" s="12" t="s">
        <v>644</v>
      </c>
      <c r="F17" s="12" t="s">
        <v>645</v>
      </c>
    </row>
    <row r="18" customFormat="false" ht="66" hidden="false" customHeight="true" outlineLevel="0" collapsed="false">
      <c r="A18" s="12" t="s">
        <v>646</v>
      </c>
      <c r="B18" s="12" t="s">
        <v>32</v>
      </c>
      <c r="C18" s="12" t="s">
        <v>647</v>
      </c>
      <c r="D18" s="12" t="s">
        <v>648</v>
      </c>
      <c r="E18" s="12" t="s">
        <v>649</v>
      </c>
      <c r="F18" s="12" t="s">
        <v>650</v>
      </c>
    </row>
    <row r="19" customFormat="false" ht="66" hidden="false" customHeight="true" outlineLevel="0" collapsed="false">
      <c r="A19" s="12" t="s">
        <v>651</v>
      </c>
      <c r="B19" s="12" t="s">
        <v>33</v>
      </c>
      <c r="C19" s="12" t="s">
        <v>647</v>
      </c>
      <c r="D19" s="12" t="s">
        <v>652</v>
      </c>
      <c r="E19" s="12" t="s">
        <v>653</v>
      </c>
      <c r="F19" s="12" t="s">
        <v>654</v>
      </c>
    </row>
    <row r="20" customFormat="false" ht="15" hidden="false" customHeight="true" outlineLevel="0" collapsed="false">
      <c r="A20" s="2"/>
      <c r="B20" s="2"/>
      <c r="C20" s="2"/>
      <c r="D20" s="2"/>
      <c r="E20" s="2"/>
      <c r="F20" s="2"/>
    </row>
    <row r="21" customFormat="false" ht="27" hidden="false" customHeight="true" outlineLevel="0" collapsed="false">
      <c r="A21" s="4" t="s">
        <v>655</v>
      </c>
      <c r="B21" s="4"/>
      <c r="C21" s="4"/>
      <c r="D21" s="4"/>
      <c r="E21" s="4"/>
      <c r="F21" s="4"/>
    </row>
    <row r="22" customFormat="false" ht="27" hidden="false" customHeight="true" outlineLevel="0" collapsed="false">
      <c r="A22" s="4"/>
      <c r="B22" s="4"/>
      <c r="C22" s="4"/>
      <c r="D22" s="4"/>
      <c r="E22" s="4"/>
      <c r="F22" s="4"/>
    </row>
    <row r="23" customFormat="false" ht="15" hidden="false" customHeight="true" outlineLevel="0" collapsed="false">
      <c r="A23" s="2"/>
      <c r="B23" s="2"/>
      <c r="C23" s="2"/>
      <c r="D23" s="2"/>
      <c r="E23" s="2"/>
      <c r="F23" s="2"/>
    </row>
    <row r="24" customFormat="false" ht="15" hidden="false" customHeight="true" outlineLevel="0" collapsed="false">
      <c r="A24" s="2"/>
      <c r="B24" s="2"/>
      <c r="C24" s="2"/>
      <c r="D24" s="2"/>
      <c r="E24" s="2"/>
      <c r="F24" s="2"/>
    </row>
    <row r="25" customFormat="false" ht="33.75" hidden="false" customHeight="true" outlineLevel="0" collapsed="false">
      <c r="A25" s="11" t="s">
        <v>35</v>
      </c>
      <c r="B25" s="11" t="s">
        <v>11</v>
      </c>
      <c r="C25" s="11" t="s">
        <v>471</v>
      </c>
      <c r="D25" s="11" t="s">
        <v>656</v>
      </c>
      <c r="E25" s="11" t="s">
        <v>657</v>
      </c>
      <c r="F25" s="11" t="s">
        <v>658</v>
      </c>
    </row>
    <row r="26" customFormat="false" ht="84" hidden="false" customHeight="true" outlineLevel="0" collapsed="false">
      <c r="A26" s="12" t="s">
        <v>116</v>
      </c>
      <c r="B26" s="12" t="s">
        <v>18</v>
      </c>
      <c r="C26" s="12" t="s">
        <v>480</v>
      </c>
      <c r="D26" s="12" t="s">
        <v>659</v>
      </c>
      <c r="E26" s="12" t="s">
        <v>118</v>
      </c>
      <c r="F26" s="12" t="s">
        <v>597</v>
      </c>
    </row>
    <row r="27" customFormat="false" ht="84" hidden="false" customHeight="true" outlineLevel="0" collapsed="false">
      <c r="A27" s="12" t="s">
        <v>121</v>
      </c>
      <c r="B27" s="12" t="s">
        <v>18</v>
      </c>
      <c r="C27" s="12" t="s">
        <v>480</v>
      </c>
      <c r="D27" s="12" t="s">
        <v>660</v>
      </c>
      <c r="E27" s="12" t="s">
        <v>123</v>
      </c>
      <c r="F27" s="12" t="s">
        <v>597</v>
      </c>
    </row>
    <row r="28" customFormat="false" ht="84" hidden="false" customHeight="true" outlineLevel="0" collapsed="false">
      <c r="A28" s="12" t="s">
        <v>124</v>
      </c>
      <c r="B28" s="12" t="s">
        <v>18</v>
      </c>
      <c r="C28" s="12" t="s">
        <v>482</v>
      </c>
      <c r="D28" s="12" t="s">
        <v>661</v>
      </c>
      <c r="E28" s="12" t="s">
        <v>126</v>
      </c>
      <c r="F28" s="12" t="s">
        <v>597</v>
      </c>
    </row>
    <row r="29" customFormat="false" ht="84" hidden="false" customHeight="true" outlineLevel="0" collapsed="false">
      <c r="A29" s="12" t="s">
        <v>127</v>
      </c>
      <c r="B29" s="12" t="s">
        <v>18</v>
      </c>
      <c r="C29" s="12" t="s">
        <v>480</v>
      </c>
      <c r="D29" s="12" t="s">
        <v>662</v>
      </c>
      <c r="E29" s="12" t="s">
        <v>129</v>
      </c>
      <c r="F29" s="12" t="s">
        <v>597</v>
      </c>
    </row>
    <row r="30" customFormat="false" ht="84" hidden="false" customHeight="true" outlineLevel="0" collapsed="false">
      <c r="A30" s="12" t="s">
        <v>130</v>
      </c>
      <c r="B30" s="12" t="s">
        <v>18</v>
      </c>
      <c r="C30" s="12" t="s">
        <v>480</v>
      </c>
      <c r="D30" s="12" t="s">
        <v>663</v>
      </c>
      <c r="E30" s="12" t="s">
        <v>132</v>
      </c>
      <c r="F30" s="12" t="s">
        <v>597</v>
      </c>
    </row>
    <row r="31" customFormat="false" ht="84" hidden="false" customHeight="true" outlineLevel="0" collapsed="false">
      <c r="A31" s="12" t="s">
        <v>133</v>
      </c>
      <c r="B31" s="12" t="s">
        <v>18</v>
      </c>
      <c r="C31" s="12" t="s">
        <v>482</v>
      </c>
      <c r="D31" s="12" t="s">
        <v>664</v>
      </c>
      <c r="E31" s="12" t="s">
        <v>135</v>
      </c>
      <c r="F31" s="12" t="s">
        <v>597</v>
      </c>
    </row>
    <row r="32" customFormat="false" ht="84" hidden="false" customHeight="true" outlineLevel="0" collapsed="false">
      <c r="A32" s="12" t="s">
        <v>136</v>
      </c>
      <c r="B32" s="12" t="s">
        <v>18</v>
      </c>
      <c r="C32" s="12" t="s">
        <v>480</v>
      </c>
      <c r="D32" s="12" t="s">
        <v>665</v>
      </c>
      <c r="E32" s="12" t="s">
        <v>138</v>
      </c>
      <c r="F32" s="12" t="s">
        <v>597</v>
      </c>
    </row>
    <row r="33" customFormat="false" ht="84" hidden="false" customHeight="true" outlineLevel="0" collapsed="false">
      <c r="A33" s="12" t="s">
        <v>139</v>
      </c>
      <c r="B33" s="12" t="s">
        <v>18</v>
      </c>
      <c r="C33" s="12" t="s">
        <v>480</v>
      </c>
      <c r="D33" s="12" t="s">
        <v>666</v>
      </c>
      <c r="E33" s="12" t="s">
        <v>141</v>
      </c>
      <c r="F33" s="12" t="s">
        <v>597</v>
      </c>
    </row>
    <row r="34" customFormat="false" ht="84" hidden="false" customHeight="true" outlineLevel="0" collapsed="false">
      <c r="A34" s="12" t="s">
        <v>142</v>
      </c>
      <c r="B34" s="12" t="s">
        <v>19</v>
      </c>
      <c r="C34" s="12" t="s">
        <v>482</v>
      </c>
      <c r="D34" s="12" t="s">
        <v>667</v>
      </c>
      <c r="E34" s="12" t="s">
        <v>144</v>
      </c>
      <c r="F34" s="12" t="s">
        <v>601</v>
      </c>
    </row>
    <row r="35" customFormat="false" ht="84" hidden="false" customHeight="true" outlineLevel="0" collapsed="false">
      <c r="A35" s="12" t="s">
        <v>145</v>
      </c>
      <c r="B35" s="12" t="s">
        <v>19</v>
      </c>
      <c r="C35" s="12" t="s">
        <v>480</v>
      </c>
      <c r="D35" s="12" t="s">
        <v>668</v>
      </c>
      <c r="E35" s="12" t="s">
        <v>147</v>
      </c>
      <c r="F35" s="12" t="s">
        <v>601</v>
      </c>
    </row>
    <row r="36" customFormat="false" ht="84" hidden="false" customHeight="true" outlineLevel="0" collapsed="false">
      <c r="A36" s="12" t="s">
        <v>148</v>
      </c>
      <c r="B36" s="12" t="s">
        <v>19</v>
      </c>
      <c r="C36" s="12" t="s">
        <v>480</v>
      </c>
      <c r="D36" s="12" t="s">
        <v>669</v>
      </c>
      <c r="E36" s="12" t="s">
        <v>150</v>
      </c>
      <c r="F36" s="12" t="s">
        <v>601</v>
      </c>
    </row>
    <row r="37" customFormat="false" ht="84" hidden="false" customHeight="true" outlineLevel="0" collapsed="false">
      <c r="A37" s="12" t="s">
        <v>151</v>
      </c>
      <c r="B37" s="12" t="s">
        <v>19</v>
      </c>
      <c r="C37" s="12" t="s">
        <v>482</v>
      </c>
      <c r="D37" s="12" t="s">
        <v>670</v>
      </c>
      <c r="E37" s="12" t="s">
        <v>153</v>
      </c>
      <c r="F37" s="12" t="s">
        <v>601</v>
      </c>
    </row>
    <row r="38" customFormat="false" ht="84" hidden="false" customHeight="true" outlineLevel="0" collapsed="false">
      <c r="A38" s="12" t="s">
        <v>154</v>
      </c>
      <c r="B38" s="12" t="s">
        <v>19</v>
      </c>
      <c r="C38" s="12" t="s">
        <v>480</v>
      </c>
      <c r="D38" s="12" t="s">
        <v>671</v>
      </c>
      <c r="E38" s="12" t="s">
        <v>156</v>
      </c>
      <c r="F38" s="12" t="s">
        <v>601</v>
      </c>
    </row>
    <row r="39" customFormat="false" ht="84" hidden="false" customHeight="true" outlineLevel="0" collapsed="false">
      <c r="A39" s="12" t="s">
        <v>158</v>
      </c>
      <c r="B39" s="12" t="s">
        <v>19</v>
      </c>
      <c r="C39" s="12" t="s">
        <v>480</v>
      </c>
      <c r="D39" s="12" t="s">
        <v>672</v>
      </c>
      <c r="E39" s="12" t="s">
        <v>160</v>
      </c>
      <c r="F39" s="12" t="s">
        <v>601</v>
      </c>
    </row>
    <row r="40" customFormat="false" ht="84" hidden="false" customHeight="true" outlineLevel="0" collapsed="false">
      <c r="A40" s="12" t="s">
        <v>162</v>
      </c>
      <c r="B40" s="12" t="s">
        <v>19</v>
      </c>
      <c r="C40" s="12" t="s">
        <v>482</v>
      </c>
      <c r="D40" s="12" t="s">
        <v>673</v>
      </c>
      <c r="E40" s="12" t="s">
        <v>164</v>
      </c>
      <c r="F40" s="12" t="s">
        <v>601</v>
      </c>
    </row>
    <row r="41" customFormat="false" ht="84" hidden="false" customHeight="true" outlineLevel="0" collapsed="false">
      <c r="A41" s="12" t="s">
        <v>165</v>
      </c>
      <c r="B41" s="12" t="s">
        <v>19</v>
      </c>
      <c r="C41" s="12" t="s">
        <v>482</v>
      </c>
      <c r="D41" s="12" t="s">
        <v>674</v>
      </c>
      <c r="E41" s="12" t="s">
        <v>167</v>
      </c>
      <c r="F41" s="12" t="s">
        <v>601</v>
      </c>
    </row>
    <row r="42" customFormat="false" ht="84" hidden="false" customHeight="true" outlineLevel="0" collapsed="false">
      <c r="A42" s="12" t="s">
        <v>169</v>
      </c>
      <c r="B42" s="12" t="s">
        <v>20</v>
      </c>
      <c r="C42" s="12" t="s">
        <v>482</v>
      </c>
      <c r="D42" s="12" t="s">
        <v>675</v>
      </c>
      <c r="E42" s="12" t="s">
        <v>171</v>
      </c>
      <c r="F42" s="12" t="s">
        <v>606</v>
      </c>
    </row>
    <row r="43" customFormat="false" ht="84" hidden="false" customHeight="true" outlineLevel="0" collapsed="false">
      <c r="A43" s="12" t="s">
        <v>172</v>
      </c>
      <c r="B43" s="12" t="s">
        <v>20</v>
      </c>
      <c r="C43" s="12" t="s">
        <v>482</v>
      </c>
      <c r="D43" s="12" t="s">
        <v>676</v>
      </c>
      <c r="E43" s="12" t="s">
        <v>174</v>
      </c>
      <c r="F43" s="12" t="s">
        <v>606</v>
      </c>
    </row>
    <row r="44" customFormat="false" ht="84" hidden="false" customHeight="true" outlineLevel="0" collapsed="false">
      <c r="A44" s="12" t="s">
        <v>176</v>
      </c>
      <c r="B44" s="12" t="s">
        <v>20</v>
      </c>
      <c r="C44" s="12" t="s">
        <v>482</v>
      </c>
      <c r="D44" s="12" t="s">
        <v>677</v>
      </c>
      <c r="E44" s="12" t="s">
        <v>178</v>
      </c>
      <c r="F44" s="12" t="s">
        <v>606</v>
      </c>
    </row>
    <row r="45" customFormat="false" ht="84" hidden="false" customHeight="true" outlineLevel="0" collapsed="false">
      <c r="A45" s="12" t="s">
        <v>179</v>
      </c>
      <c r="B45" s="12" t="s">
        <v>20</v>
      </c>
      <c r="C45" s="12" t="s">
        <v>482</v>
      </c>
      <c r="D45" s="12" t="s">
        <v>678</v>
      </c>
      <c r="E45" s="12" t="s">
        <v>181</v>
      </c>
      <c r="F45" s="12" t="s">
        <v>606</v>
      </c>
    </row>
    <row r="46" customFormat="false" ht="84" hidden="false" customHeight="true" outlineLevel="0" collapsed="false">
      <c r="A46" s="12" t="s">
        <v>182</v>
      </c>
      <c r="B46" s="12" t="s">
        <v>20</v>
      </c>
      <c r="C46" s="12" t="s">
        <v>482</v>
      </c>
      <c r="D46" s="12" t="s">
        <v>679</v>
      </c>
      <c r="E46" s="12" t="s">
        <v>184</v>
      </c>
      <c r="F46" s="12" t="s">
        <v>606</v>
      </c>
    </row>
    <row r="47" customFormat="false" ht="84" hidden="false" customHeight="true" outlineLevel="0" collapsed="false">
      <c r="A47" s="12" t="s">
        <v>185</v>
      </c>
      <c r="B47" s="12" t="s">
        <v>20</v>
      </c>
      <c r="C47" s="12" t="s">
        <v>480</v>
      </c>
      <c r="D47" s="12" t="s">
        <v>680</v>
      </c>
      <c r="E47" s="12" t="s">
        <v>187</v>
      </c>
      <c r="F47" s="12" t="s">
        <v>606</v>
      </c>
    </row>
    <row r="48" customFormat="false" ht="84" hidden="false" customHeight="true" outlineLevel="0" collapsed="false">
      <c r="A48" s="12" t="s">
        <v>188</v>
      </c>
      <c r="B48" s="12" t="s">
        <v>20</v>
      </c>
      <c r="C48" s="12" t="s">
        <v>480</v>
      </c>
      <c r="D48" s="12" t="s">
        <v>681</v>
      </c>
      <c r="E48" s="12" t="s">
        <v>190</v>
      </c>
      <c r="F48" s="12" t="s">
        <v>606</v>
      </c>
    </row>
    <row r="49" customFormat="false" ht="84" hidden="false" customHeight="true" outlineLevel="0" collapsed="false">
      <c r="A49" s="12" t="s">
        <v>191</v>
      </c>
      <c r="B49" s="12" t="s">
        <v>20</v>
      </c>
      <c r="C49" s="12" t="s">
        <v>480</v>
      </c>
      <c r="D49" s="12" t="s">
        <v>682</v>
      </c>
      <c r="E49" s="12" t="s">
        <v>193</v>
      </c>
      <c r="F49" s="12" t="s">
        <v>606</v>
      </c>
    </row>
    <row r="50" customFormat="false" ht="84" hidden="false" customHeight="true" outlineLevel="0" collapsed="false">
      <c r="A50" s="12" t="s">
        <v>194</v>
      </c>
      <c r="B50" s="12" t="s">
        <v>21</v>
      </c>
      <c r="C50" s="12" t="s">
        <v>482</v>
      </c>
      <c r="D50" s="12" t="s">
        <v>683</v>
      </c>
      <c r="E50" s="12" t="s">
        <v>196</v>
      </c>
      <c r="F50" s="12" t="s">
        <v>610</v>
      </c>
    </row>
    <row r="51" customFormat="false" ht="84" hidden="false" customHeight="true" outlineLevel="0" collapsed="false">
      <c r="A51" s="12" t="s">
        <v>198</v>
      </c>
      <c r="B51" s="12" t="s">
        <v>21</v>
      </c>
      <c r="C51" s="12" t="s">
        <v>480</v>
      </c>
      <c r="D51" s="12" t="s">
        <v>684</v>
      </c>
      <c r="E51" s="12" t="s">
        <v>200</v>
      </c>
      <c r="F51" s="12" t="s">
        <v>610</v>
      </c>
    </row>
    <row r="52" customFormat="false" ht="84" hidden="false" customHeight="true" outlineLevel="0" collapsed="false">
      <c r="A52" s="12" t="s">
        <v>201</v>
      </c>
      <c r="B52" s="12" t="s">
        <v>21</v>
      </c>
      <c r="C52" s="12" t="s">
        <v>482</v>
      </c>
      <c r="D52" s="12" t="s">
        <v>685</v>
      </c>
      <c r="E52" s="12" t="s">
        <v>203</v>
      </c>
      <c r="F52" s="12" t="s">
        <v>610</v>
      </c>
    </row>
    <row r="53" customFormat="false" ht="84" hidden="false" customHeight="true" outlineLevel="0" collapsed="false">
      <c r="A53" s="12" t="s">
        <v>204</v>
      </c>
      <c r="B53" s="12" t="s">
        <v>21</v>
      </c>
      <c r="C53" s="12" t="s">
        <v>482</v>
      </c>
      <c r="D53" s="12" t="s">
        <v>686</v>
      </c>
      <c r="E53" s="12" t="s">
        <v>206</v>
      </c>
      <c r="F53" s="12" t="s">
        <v>610</v>
      </c>
    </row>
    <row r="54" customFormat="false" ht="84" hidden="false" customHeight="true" outlineLevel="0" collapsed="false">
      <c r="A54" s="12" t="s">
        <v>207</v>
      </c>
      <c r="B54" s="12" t="s">
        <v>21</v>
      </c>
      <c r="C54" s="12" t="s">
        <v>480</v>
      </c>
      <c r="D54" s="12" t="s">
        <v>687</v>
      </c>
      <c r="E54" s="12" t="s">
        <v>209</v>
      </c>
      <c r="F54" s="12" t="s">
        <v>610</v>
      </c>
    </row>
    <row r="55" customFormat="false" ht="84" hidden="false" customHeight="true" outlineLevel="0" collapsed="false">
      <c r="A55" s="12" t="s">
        <v>210</v>
      </c>
      <c r="B55" s="12" t="s">
        <v>21</v>
      </c>
      <c r="C55" s="12" t="s">
        <v>482</v>
      </c>
      <c r="D55" s="12" t="s">
        <v>688</v>
      </c>
      <c r="E55" s="12" t="s">
        <v>212</v>
      </c>
      <c r="F55" s="12" t="s">
        <v>610</v>
      </c>
    </row>
    <row r="56" customFormat="false" ht="84" hidden="false" customHeight="true" outlineLevel="0" collapsed="false">
      <c r="A56" s="12" t="s">
        <v>213</v>
      </c>
      <c r="B56" s="12" t="s">
        <v>21</v>
      </c>
      <c r="C56" s="12" t="s">
        <v>482</v>
      </c>
      <c r="D56" s="12" t="s">
        <v>689</v>
      </c>
      <c r="E56" s="12" t="s">
        <v>215</v>
      </c>
      <c r="F56" s="12" t="s">
        <v>610</v>
      </c>
    </row>
    <row r="57" customFormat="false" ht="84" hidden="false" customHeight="true" outlineLevel="0" collapsed="false">
      <c r="A57" s="12" t="s">
        <v>217</v>
      </c>
      <c r="B57" s="12" t="s">
        <v>21</v>
      </c>
      <c r="C57" s="12" t="s">
        <v>482</v>
      </c>
      <c r="D57" s="12" t="s">
        <v>690</v>
      </c>
      <c r="E57" s="12" t="s">
        <v>219</v>
      </c>
      <c r="F57" s="12" t="s">
        <v>610</v>
      </c>
    </row>
    <row r="58" customFormat="false" ht="84" hidden="false" customHeight="true" outlineLevel="0" collapsed="false">
      <c r="A58" s="12" t="s">
        <v>220</v>
      </c>
      <c r="B58" s="12" t="s">
        <v>22</v>
      </c>
      <c r="C58" s="12" t="s">
        <v>482</v>
      </c>
      <c r="D58" s="12" t="s">
        <v>691</v>
      </c>
      <c r="E58" s="12" t="s">
        <v>222</v>
      </c>
      <c r="F58" s="12" t="s">
        <v>615</v>
      </c>
    </row>
    <row r="59" customFormat="false" ht="84" hidden="false" customHeight="true" outlineLevel="0" collapsed="false">
      <c r="A59" s="12" t="s">
        <v>223</v>
      </c>
      <c r="B59" s="12" t="s">
        <v>22</v>
      </c>
      <c r="C59" s="12" t="s">
        <v>482</v>
      </c>
      <c r="D59" s="12" t="s">
        <v>692</v>
      </c>
      <c r="E59" s="12" t="s">
        <v>225</v>
      </c>
      <c r="F59" s="12" t="s">
        <v>615</v>
      </c>
    </row>
    <row r="60" customFormat="false" ht="84" hidden="false" customHeight="true" outlineLevel="0" collapsed="false">
      <c r="A60" s="12" t="s">
        <v>226</v>
      </c>
      <c r="B60" s="12" t="s">
        <v>22</v>
      </c>
      <c r="C60" s="12" t="s">
        <v>483</v>
      </c>
      <c r="D60" s="12" t="s">
        <v>693</v>
      </c>
      <c r="E60" s="12" t="s">
        <v>228</v>
      </c>
      <c r="F60" s="12" t="s">
        <v>615</v>
      </c>
    </row>
    <row r="61" customFormat="false" ht="84" hidden="false" customHeight="true" outlineLevel="0" collapsed="false">
      <c r="A61" s="12" t="s">
        <v>229</v>
      </c>
      <c r="B61" s="12" t="s">
        <v>22</v>
      </c>
      <c r="C61" s="12" t="s">
        <v>482</v>
      </c>
      <c r="D61" s="12" t="s">
        <v>694</v>
      </c>
      <c r="E61" s="12" t="s">
        <v>231</v>
      </c>
      <c r="F61" s="12" t="s">
        <v>615</v>
      </c>
    </row>
    <row r="62" customFormat="false" ht="84" hidden="false" customHeight="true" outlineLevel="0" collapsed="false">
      <c r="A62" s="12" t="s">
        <v>233</v>
      </c>
      <c r="B62" s="12" t="s">
        <v>22</v>
      </c>
      <c r="C62" s="12" t="s">
        <v>480</v>
      </c>
      <c r="D62" s="12" t="s">
        <v>695</v>
      </c>
      <c r="E62" s="12" t="s">
        <v>235</v>
      </c>
      <c r="F62" s="12" t="s">
        <v>615</v>
      </c>
    </row>
    <row r="63" customFormat="false" ht="84" hidden="false" customHeight="true" outlineLevel="0" collapsed="false">
      <c r="A63" s="12" t="s">
        <v>236</v>
      </c>
      <c r="B63" s="12" t="s">
        <v>22</v>
      </c>
      <c r="C63" s="12" t="s">
        <v>482</v>
      </c>
      <c r="D63" s="12" t="s">
        <v>696</v>
      </c>
      <c r="E63" s="12" t="s">
        <v>238</v>
      </c>
      <c r="F63" s="12" t="s">
        <v>615</v>
      </c>
    </row>
    <row r="64" customFormat="false" ht="84" hidden="false" customHeight="true" outlineLevel="0" collapsed="false">
      <c r="A64" s="12" t="s">
        <v>239</v>
      </c>
      <c r="B64" s="12" t="s">
        <v>22</v>
      </c>
      <c r="C64" s="12" t="s">
        <v>482</v>
      </c>
      <c r="D64" s="12" t="s">
        <v>697</v>
      </c>
      <c r="E64" s="12" t="s">
        <v>241</v>
      </c>
      <c r="F64" s="12" t="s">
        <v>615</v>
      </c>
    </row>
    <row r="65" customFormat="false" ht="84" hidden="false" customHeight="true" outlineLevel="0" collapsed="false">
      <c r="A65" s="12" t="s">
        <v>242</v>
      </c>
      <c r="B65" s="12" t="s">
        <v>22</v>
      </c>
      <c r="C65" s="12" t="s">
        <v>480</v>
      </c>
      <c r="D65" s="12" t="s">
        <v>698</v>
      </c>
      <c r="E65" s="12" t="s">
        <v>244</v>
      </c>
      <c r="F65" s="12" t="s">
        <v>615</v>
      </c>
    </row>
    <row r="66" customFormat="false" ht="84" hidden="false" customHeight="true" outlineLevel="0" collapsed="false">
      <c r="A66" s="12" t="s">
        <v>245</v>
      </c>
      <c r="B66" s="12" t="s">
        <v>23</v>
      </c>
      <c r="C66" s="12" t="s">
        <v>482</v>
      </c>
      <c r="D66" s="12" t="s">
        <v>699</v>
      </c>
      <c r="E66" s="12" t="s">
        <v>247</v>
      </c>
      <c r="F66" s="12" t="s">
        <v>620</v>
      </c>
    </row>
    <row r="67" customFormat="false" ht="84" hidden="false" customHeight="true" outlineLevel="0" collapsed="false">
      <c r="A67" s="12" t="s">
        <v>249</v>
      </c>
      <c r="B67" s="12" t="s">
        <v>23</v>
      </c>
      <c r="C67" s="12" t="s">
        <v>482</v>
      </c>
      <c r="D67" s="12" t="s">
        <v>700</v>
      </c>
      <c r="E67" s="12" t="s">
        <v>251</v>
      </c>
      <c r="F67" s="12" t="s">
        <v>620</v>
      </c>
    </row>
    <row r="68" customFormat="false" ht="84" hidden="false" customHeight="true" outlineLevel="0" collapsed="false">
      <c r="A68" s="12" t="s">
        <v>252</v>
      </c>
      <c r="B68" s="12" t="s">
        <v>23</v>
      </c>
      <c r="C68" s="12" t="s">
        <v>482</v>
      </c>
      <c r="D68" s="12" t="s">
        <v>701</v>
      </c>
      <c r="E68" s="12" t="s">
        <v>254</v>
      </c>
      <c r="F68" s="12" t="s">
        <v>620</v>
      </c>
    </row>
    <row r="69" customFormat="false" ht="84" hidden="false" customHeight="true" outlineLevel="0" collapsed="false">
      <c r="A69" s="12" t="s">
        <v>255</v>
      </c>
      <c r="B69" s="12" t="s">
        <v>23</v>
      </c>
      <c r="C69" s="12" t="s">
        <v>480</v>
      </c>
      <c r="D69" s="12" t="s">
        <v>702</v>
      </c>
      <c r="E69" s="12" t="s">
        <v>257</v>
      </c>
      <c r="F69" s="12" t="s">
        <v>620</v>
      </c>
    </row>
    <row r="70" customFormat="false" ht="84" hidden="false" customHeight="true" outlineLevel="0" collapsed="false">
      <c r="A70" s="12" t="s">
        <v>258</v>
      </c>
      <c r="B70" s="12" t="s">
        <v>23</v>
      </c>
      <c r="C70" s="12" t="s">
        <v>483</v>
      </c>
      <c r="D70" s="12" t="s">
        <v>703</v>
      </c>
      <c r="E70" s="12" t="s">
        <v>260</v>
      </c>
      <c r="F70" s="12" t="s">
        <v>620</v>
      </c>
    </row>
    <row r="71" customFormat="false" ht="84" hidden="false" customHeight="true" outlineLevel="0" collapsed="false">
      <c r="A71" s="12" t="s">
        <v>261</v>
      </c>
      <c r="B71" s="12" t="s">
        <v>23</v>
      </c>
      <c r="C71" s="12" t="s">
        <v>482</v>
      </c>
      <c r="D71" s="12" t="s">
        <v>704</v>
      </c>
      <c r="E71" s="12" t="s">
        <v>263</v>
      </c>
      <c r="F71" s="12" t="s">
        <v>620</v>
      </c>
    </row>
    <row r="72" customFormat="false" ht="84" hidden="false" customHeight="true" outlineLevel="0" collapsed="false">
      <c r="A72" s="12" t="s">
        <v>264</v>
      </c>
      <c r="B72" s="12" t="s">
        <v>23</v>
      </c>
      <c r="C72" s="12" t="s">
        <v>482</v>
      </c>
      <c r="D72" s="12" t="s">
        <v>705</v>
      </c>
      <c r="E72" s="12" t="s">
        <v>266</v>
      </c>
      <c r="F72" s="12" t="s">
        <v>620</v>
      </c>
    </row>
    <row r="73" customFormat="false" ht="84" hidden="false" customHeight="true" outlineLevel="0" collapsed="false">
      <c r="A73" s="12" t="s">
        <v>268</v>
      </c>
      <c r="B73" s="12" t="s">
        <v>23</v>
      </c>
      <c r="C73" s="12" t="s">
        <v>482</v>
      </c>
      <c r="D73" s="12" t="s">
        <v>706</v>
      </c>
      <c r="E73" s="12" t="s">
        <v>270</v>
      </c>
      <c r="F73" s="12" t="s">
        <v>620</v>
      </c>
    </row>
    <row r="74" customFormat="false" ht="84" hidden="false" customHeight="true" outlineLevel="0" collapsed="false">
      <c r="A74" s="12" t="s">
        <v>271</v>
      </c>
      <c r="B74" s="12" t="s">
        <v>25</v>
      </c>
      <c r="C74" s="12" t="s">
        <v>482</v>
      </c>
      <c r="D74" s="12" t="s">
        <v>707</v>
      </c>
      <c r="E74" s="12" t="s">
        <v>273</v>
      </c>
      <c r="F74" s="12" t="s">
        <v>625</v>
      </c>
    </row>
    <row r="75" customFormat="false" ht="84" hidden="false" customHeight="true" outlineLevel="0" collapsed="false">
      <c r="A75" s="12" t="s">
        <v>274</v>
      </c>
      <c r="B75" s="12" t="s">
        <v>25</v>
      </c>
      <c r="C75" s="12" t="s">
        <v>480</v>
      </c>
      <c r="D75" s="12" t="s">
        <v>708</v>
      </c>
      <c r="E75" s="12" t="s">
        <v>276</v>
      </c>
      <c r="F75" s="12" t="s">
        <v>625</v>
      </c>
    </row>
    <row r="76" customFormat="false" ht="84" hidden="false" customHeight="true" outlineLevel="0" collapsed="false">
      <c r="A76" s="12" t="s">
        <v>277</v>
      </c>
      <c r="B76" s="12" t="s">
        <v>25</v>
      </c>
      <c r="C76" s="12" t="s">
        <v>480</v>
      </c>
      <c r="D76" s="12" t="s">
        <v>709</v>
      </c>
      <c r="E76" s="12" t="s">
        <v>279</v>
      </c>
      <c r="F76" s="12" t="s">
        <v>625</v>
      </c>
    </row>
    <row r="77" customFormat="false" ht="84" hidden="false" customHeight="true" outlineLevel="0" collapsed="false">
      <c r="A77" s="12" t="s">
        <v>280</v>
      </c>
      <c r="B77" s="12" t="s">
        <v>25</v>
      </c>
      <c r="C77" s="12" t="s">
        <v>482</v>
      </c>
      <c r="D77" s="12" t="s">
        <v>710</v>
      </c>
      <c r="E77" s="12" t="s">
        <v>282</v>
      </c>
      <c r="F77" s="12" t="s">
        <v>625</v>
      </c>
    </row>
    <row r="78" customFormat="false" ht="84" hidden="false" customHeight="true" outlineLevel="0" collapsed="false">
      <c r="A78" s="12" t="s">
        <v>283</v>
      </c>
      <c r="B78" s="12" t="s">
        <v>25</v>
      </c>
      <c r="C78" s="12" t="s">
        <v>480</v>
      </c>
      <c r="D78" s="12" t="s">
        <v>711</v>
      </c>
      <c r="E78" s="12" t="s">
        <v>285</v>
      </c>
      <c r="F78" s="12" t="s">
        <v>625</v>
      </c>
    </row>
    <row r="79" customFormat="false" ht="84" hidden="false" customHeight="true" outlineLevel="0" collapsed="false">
      <c r="A79" s="12" t="s">
        <v>286</v>
      </c>
      <c r="B79" s="12" t="s">
        <v>25</v>
      </c>
      <c r="C79" s="12" t="s">
        <v>480</v>
      </c>
      <c r="D79" s="12" t="s">
        <v>712</v>
      </c>
      <c r="E79" s="12" t="s">
        <v>288</v>
      </c>
      <c r="F79" s="12" t="s">
        <v>625</v>
      </c>
    </row>
    <row r="80" customFormat="false" ht="84" hidden="false" customHeight="true" outlineLevel="0" collapsed="false">
      <c r="A80" s="12" t="s">
        <v>289</v>
      </c>
      <c r="B80" s="12" t="s">
        <v>25</v>
      </c>
      <c r="C80" s="12" t="s">
        <v>482</v>
      </c>
      <c r="D80" s="12" t="s">
        <v>713</v>
      </c>
      <c r="E80" s="12" t="s">
        <v>291</v>
      </c>
      <c r="F80" s="12" t="s">
        <v>625</v>
      </c>
    </row>
    <row r="81" customFormat="false" ht="84" hidden="false" customHeight="true" outlineLevel="0" collapsed="false">
      <c r="A81" s="12" t="s">
        <v>292</v>
      </c>
      <c r="B81" s="12" t="s">
        <v>25</v>
      </c>
      <c r="C81" s="12" t="s">
        <v>480</v>
      </c>
      <c r="D81" s="12" t="s">
        <v>714</v>
      </c>
      <c r="E81" s="12" t="s">
        <v>294</v>
      </c>
      <c r="F81" s="12" t="s">
        <v>625</v>
      </c>
    </row>
    <row r="82" customFormat="false" ht="84" hidden="false" customHeight="true" outlineLevel="0" collapsed="false">
      <c r="A82" s="12" t="s">
        <v>295</v>
      </c>
      <c r="B82" s="12" t="s">
        <v>26</v>
      </c>
      <c r="C82" s="12" t="s">
        <v>482</v>
      </c>
      <c r="D82" s="12" t="s">
        <v>715</v>
      </c>
      <c r="E82" s="12" t="s">
        <v>297</v>
      </c>
      <c r="F82" s="12" t="s">
        <v>629</v>
      </c>
    </row>
    <row r="83" customFormat="false" ht="84" hidden="false" customHeight="true" outlineLevel="0" collapsed="false">
      <c r="A83" s="12" t="s">
        <v>298</v>
      </c>
      <c r="B83" s="12" t="s">
        <v>26</v>
      </c>
      <c r="C83" s="12" t="s">
        <v>482</v>
      </c>
      <c r="D83" s="12" t="s">
        <v>716</v>
      </c>
      <c r="E83" s="12" t="s">
        <v>300</v>
      </c>
      <c r="F83" s="12" t="s">
        <v>629</v>
      </c>
    </row>
    <row r="84" customFormat="false" ht="84" hidden="false" customHeight="true" outlineLevel="0" collapsed="false">
      <c r="A84" s="12" t="s">
        <v>301</v>
      </c>
      <c r="B84" s="12" t="s">
        <v>26</v>
      </c>
      <c r="C84" s="12" t="s">
        <v>482</v>
      </c>
      <c r="D84" s="12" t="s">
        <v>717</v>
      </c>
      <c r="E84" s="12" t="s">
        <v>303</v>
      </c>
      <c r="F84" s="12" t="s">
        <v>629</v>
      </c>
    </row>
    <row r="85" customFormat="false" ht="84" hidden="false" customHeight="true" outlineLevel="0" collapsed="false">
      <c r="A85" s="12" t="s">
        <v>304</v>
      </c>
      <c r="B85" s="12" t="s">
        <v>26</v>
      </c>
      <c r="C85" s="12" t="s">
        <v>480</v>
      </c>
      <c r="D85" s="12" t="s">
        <v>718</v>
      </c>
      <c r="E85" s="12" t="s">
        <v>306</v>
      </c>
      <c r="F85" s="12" t="s">
        <v>629</v>
      </c>
    </row>
    <row r="86" customFormat="false" ht="84" hidden="false" customHeight="true" outlineLevel="0" collapsed="false">
      <c r="A86" s="12" t="s">
        <v>307</v>
      </c>
      <c r="B86" s="12" t="s">
        <v>26</v>
      </c>
      <c r="C86" s="12" t="s">
        <v>482</v>
      </c>
      <c r="D86" s="12" t="s">
        <v>719</v>
      </c>
      <c r="E86" s="12" t="s">
        <v>309</v>
      </c>
      <c r="F86" s="12" t="s">
        <v>629</v>
      </c>
    </row>
    <row r="87" customFormat="false" ht="84" hidden="false" customHeight="true" outlineLevel="0" collapsed="false">
      <c r="A87" s="12" t="s">
        <v>310</v>
      </c>
      <c r="B87" s="12" t="s">
        <v>26</v>
      </c>
      <c r="C87" s="12" t="s">
        <v>482</v>
      </c>
      <c r="D87" s="12" t="s">
        <v>720</v>
      </c>
      <c r="E87" s="12" t="s">
        <v>312</v>
      </c>
      <c r="F87" s="12" t="s">
        <v>629</v>
      </c>
    </row>
    <row r="88" customFormat="false" ht="84" hidden="false" customHeight="true" outlineLevel="0" collapsed="false">
      <c r="A88" s="12" t="s">
        <v>313</v>
      </c>
      <c r="B88" s="12" t="s">
        <v>26</v>
      </c>
      <c r="C88" s="12" t="s">
        <v>482</v>
      </c>
      <c r="D88" s="12" t="s">
        <v>721</v>
      </c>
      <c r="E88" s="12" t="s">
        <v>315</v>
      </c>
      <c r="F88" s="12" t="s">
        <v>629</v>
      </c>
    </row>
    <row r="89" customFormat="false" ht="84" hidden="false" customHeight="true" outlineLevel="0" collapsed="false">
      <c r="A89" s="12" t="s">
        <v>316</v>
      </c>
      <c r="B89" s="12" t="s">
        <v>26</v>
      </c>
      <c r="C89" s="12" t="s">
        <v>482</v>
      </c>
      <c r="D89" s="12" t="s">
        <v>722</v>
      </c>
      <c r="E89" s="12" t="s">
        <v>318</v>
      </c>
      <c r="F89" s="12" t="s">
        <v>629</v>
      </c>
    </row>
    <row r="90" customFormat="false" ht="84" hidden="false" customHeight="true" outlineLevel="0" collapsed="false">
      <c r="A90" s="12" t="s">
        <v>319</v>
      </c>
      <c r="B90" s="12" t="s">
        <v>27</v>
      </c>
      <c r="C90" s="12" t="s">
        <v>480</v>
      </c>
      <c r="D90" s="12" t="s">
        <v>723</v>
      </c>
      <c r="E90" s="12" t="s">
        <v>321</v>
      </c>
      <c r="F90" s="12" t="s">
        <v>633</v>
      </c>
    </row>
    <row r="91" customFormat="false" ht="84" hidden="false" customHeight="true" outlineLevel="0" collapsed="false">
      <c r="A91" s="12" t="s">
        <v>322</v>
      </c>
      <c r="B91" s="12" t="s">
        <v>27</v>
      </c>
      <c r="C91" s="12" t="s">
        <v>482</v>
      </c>
      <c r="D91" s="12" t="s">
        <v>724</v>
      </c>
      <c r="E91" s="12" t="s">
        <v>324</v>
      </c>
      <c r="F91" s="12" t="s">
        <v>633</v>
      </c>
    </row>
    <row r="92" customFormat="false" ht="84" hidden="false" customHeight="true" outlineLevel="0" collapsed="false">
      <c r="A92" s="12" t="s">
        <v>325</v>
      </c>
      <c r="B92" s="12" t="s">
        <v>27</v>
      </c>
      <c r="C92" s="12" t="s">
        <v>480</v>
      </c>
      <c r="D92" s="12" t="s">
        <v>725</v>
      </c>
      <c r="E92" s="12" t="s">
        <v>327</v>
      </c>
      <c r="F92" s="12" t="s">
        <v>633</v>
      </c>
    </row>
    <row r="93" customFormat="false" ht="84" hidden="false" customHeight="true" outlineLevel="0" collapsed="false">
      <c r="A93" s="12" t="s">
        <v>328</v>
      </c>
      <c r="B93" s="12" t="s">
        <v>27</v>
      </c>
      <c r="C93" s="12" t="s">
        <v>482</v>
      </c>
      <c r="D93" s="12" t="s">
        <v>726</v>
      </c>
      <c r="E93" s="12" t="s">
        <v>330</v>
      </c>
      <c r="F93" s="12" t="s">
        <v>633</v>
      </c>
    </row>
    <row r="94" customFormat="false" ht="84" hidden="false" customHeight="true" outlineLevel="0" collapsed="false">
      <c r="A94" s="12" t="s">
        <v>331</v>
      </c>
      <c r="B94" s="12" t="s">
        <v>27</v>
      </c>
      <c r="C94" s="12" t="s">
        <v>482</v>
      </c>
      <c r="D94" s="12" t="s">
        <v>727</v>
      </c>
      <c r="E94" s="12" t="s">
        <v>333</v>
      </c>
      <c r="F94" s="12" t="s">
        <v>633</v>
      </c>
    </row>
    <row r="95" customFormat="false" ht="84" hidden="false" customHeight="true" outlineLevel="0" collapsed="false">
      <c r="A95" s="12" t="s">
        <v>334</v>
      </c>
      <c r="B95" s="12" t="s">
        <v>27</v>
      </c>
      <c r="C95" s="12" t="s">
        <v>482</v>
      </c>
      <c r="D95" s="12" t="s">
        <v>728</v>
      </c>
      <c r="E95" s="12" t="s">
        <v>336</v>
      </c>
      <c r="F95" s="12" t="s">
        <v>633</v>
      </c>
    </row>
    <row r="96" customFormat="false" ht="84" hidden="false" customHeight="true" outlineLevel="0" collapsed="false">
      <c r="A96" s="12" t="s">
        <v>337</v>
      </c>
      <c r="B96" s="12" t="s">
        <v>27</v>
      </c>
      <c r="C96" s="12" t="s">
        <v>480</v>
      </c>
      <c r="D96" s="12" t="s">
        <v>729</v>
      </c>
      <c r="E96" s="12" t="s">
        <v>339</v>
      </c>
      <c r="F96" s="12" t="s">
        <v>633</v>
      </c>
    </row>
    <row r="97" customFormat="false" ht="84" hidden="false" customHeight="true" outlineLevel="0" collapsed="false">
      <c r="A97" s="12" t="s">
        <v>341</v>
      </c>
      <c r="B97" s="12" t="s">
        <v>27</v>
      </c>
      <c r="C97" s="12" t="s">
        <v>480</v>
      </c>
      <c r="D97" s="12" t="s">
        <v>730</v>
      </c>
      <c r="E97" s="12" t="s">
        <v>343</v>
      </c>
      <c r="F97" s="12" t="s">
        <v>633</v>
      </c>
    </row>
    <row r="98" customFormat="false" ht="84" hidden="false" customHeight="true" outlineLevel="0" collapsed="false">
      <c r="A98" s="12" t="s">
        <v>344</v>
      </c>
      <c r="B98" s="12" t="s">
        <v>28</v>
      </c>
      <c r="C98" s="12" t="s">
        <v>480</v>
      </c>
      <c r="D98" s="12" t="s">
        <v>731</v>
      </c>
      <c r="E98" s="12" t="s">
        <v>346</v>
      </c>
      <c r="F98" s="12" t="s">
        <v>637</v>
      </c>
    </row>
    <row r="99" customFormat="false" ht="84" hidden="false" customHeight="true" outlineLevel="0" collapsed="false">
      <c r="A99" s="12" t="s">
        <v>347</v>
      </c>
      <c r="B99" s="12" t="s">
        <v>28</v>
      </c>
      <c r="C99" s="12" t="s">
        <v>482</v>
      </c>
      <c r="D99" s="12" t="s">
        <v>732</v>
      </c>
      <c r="E99" s="12" t="s">
        <v>349</v>
      </c>
      <c r="F99" s="12" t="s">
        <v>637</v>
      </c>
    </row>
    <row r="100" customFormat="false" ht="84" hidden="false" customHeight="true" outlineLevel="0" collapsed="false">
      <c r="A100" s="12" t="s">
        <v>350</v>
      </c>
      <c r="B100" s="12" t="s">
        <v>28</v>
      </c>
      <c r="C100" s="12" t="s">
        <v>482</v>
      </c>
      <c r="D100" s="12" t="s">
        <v>733</v>
      </c>
      <c r="E100" s="12" t="s">
        <v>352</v>
      </c>
      <c r="F100" s="12" t="s">
        <v>637</v>
      </c>
    </row>
    <row r="101" customFormat="false" ht="84" hidden="false" customHeight="true" outlineLevel="0" collapsed="false">
      <c r="A101" s="12" t="s">
        <v>353</v>
      </c>
      <c r="B101" s="12" t="s">
        <v>28</v>
      </c>
      <c r="C101" s="12" t="s">
        <v>482</v>
      </c>
      <c r="D101" s="12" t="s">
        <v>734</v>
      </c>
      <c r="E101" s="12" t="s">
        <v>355</v>
      </c>
      <c r="F101" s="12" t="s">
        <v>637</v>
      </c>
    </row>
    <row r="102" customFormat="false" ht="84" hidden="false" customHeight="true" outlineLevel="0" collapsed="false">
      <c r="A102" s="12" t="s">
        <v>356</v>
      </c>
      <c r="B102" s="12" t="s">
        <v>28</v>
      </c>
      <c r="C102" s="12" t="s">
        <v>482</v>
      </c>
      <c r="D102" s="12" t="s">
        <v>735</v>
      </c>
      <c r="E102" s="12" t="s">
        <v>358</v>
      </c>
      <c r="F102" s="12" t="s">
        <v>637</v>
      </c>
    </row>
    <row r="103" customFormat="false" ht="84" hidden="false" customHeight="true" outlineLevel="0" collapsed="false">
      <c r="A103" s="12" t="s">
        <v>359</v>
      </c>
      <c r="B103" s="12" t="s">
        <v>28</v>
      </c>
      <c r="C103" s="12" t="s">
        <v>480</v>
      </c>
      <c r="D103" s="12" t="s">
        <v>736</v>
      </c>
      <c r="E103" s="12" t="s">
        <v>361</v>
      </c>
      <c r="F103" s="12" t="s">
        <v>637</v>
      </c>
    </row>
    <row r="104" customFormat="false" ht="84" hidden="false" customHeight="true" outlineLevel="0" collapsed="false">
      <c r="A104" s="12" t="s">
        <v>362</v>
      </c>
      <c r="B104" s="12" t="s">
        <v>28</v>
      </c>
      <c r="C104" s="12" t="s">
        <v>482</v>
      </c>
      <c r="D104" s="12" t="s">
        <v>737</v>
      </c>
      <c r="E104" s="12" t="s">
        <v>364</v>
      </c>
      <c r="F104" s="12" t="s">
        <v>637</v>
      </c>
    </row>
    <row r="105" customFormat="false" ht="84" hidden="false" customHeight="true" outlineLevel="0" collapsed="false">
      <c r="A105" s="12" t="s">
        <v>365</v>
      </c>
      <c r="B105" s="12" t="s">
        <v>28</v>
      </c>
      <c r="C105" s="12" t="s">
        <v>482</v>
      </c>
      <c r="D105" s="12" t="s">
        <v>738</v>
      </c>
      <c r="E105" s="12" t="s">
        <v>367</v>
      </c>
      <c r="F105" s="12" t="s">
        <v>637</v>
      </c>
    </row>
    <row r="106" customFormat="false" ht="84" hidden="false" customHeight="true" outlineLevel="0" collapsed="false">
      <c r="A106" s="12" t="s">
        <v>368</v>
      </c>
      <c r="B106" s="12" t="s">
        <v>29</v>
      </c>
      <c r="C106" s="12" t="s">
        <v>482</v>
      </c>
      <c r="D106" s="12" t="s">
        <v>739</v>
      </c>
      <c r="E106" s="12" t="s">
        <v>370</v>
      </c>
      <c r="F106" s="12" t="s">
        <v>641</v>
      </c>
    </row>
    <row r="107" customFormat="false" ht="84" hidden="false" customHeight="true" outlineLevel="0" collapsed="false">
      <c r="A107" s="12" t="s">
        <v>371</v>
      </c>
      <c r="B107" s="12" t="s">
        <v>29</v>
      </c>
      <c r="C107" s="12" t="s">
        <v>480</v>
      </c>
      <c r="D107" s="12" t="s">
        <v>740</v>
      </c>
      <c r="E107" s="12" t="s">
        <v>373</v>
      </c>
      <c r="F107" s="12" t="s">
        <v>641</v>
      </c>
    </row>
    <row r="108" customFormat="false" ht="84" hidden="false" customHeight="true" outlineLevel="0" collapsed="false">
      <c r="A108" s="12" t="s">
        <v>374</v>
      </c>
      <c r="B108" s="12" t="s">
        <v>29</v>
      </c>
      <c r="C108" s="12" t="s">
        <v>482</v>
      </c>
      <c r="D108" s="12" t="s">
        <v>741</v>
      </c>
      <c r="E108" s="12" t="s">
        <v>376</v>
      </c>
      <c r="F108" s="12" t="s">
        <v>641</v>
      </c>
    </row>
    <row r="109" customFormat="false" ht="84" hidden="false" customHeight="true" outlineLevel="0" collapsed="false">
      <c r="A109" s="12" t="s">
        <v>377</v>
      </c>
      <c r="B109" s="12" t="s">
        <v>29</v>
      </c>
      <c r="C109" s="12" t="s">
        <v>482</v>
      </c>
      <c r="D109" s="12" t="s">
        <v>742</v>
      </c>
      <c r="E109" s="12" t="s">
        <v>379</v>
      </c>
      <c r="F109" s="12" t="s">
        <v>641</v>
      </c>
    </row>
    <row r="110" customFormat="false" ht="84" hidden="false" customHeight="true" outlineLevel="0" collapsed="false">
      <c r="A110" s="12" t="s">
        <v>381</v>
      </c>
      <c r="B110" s="12" t="s">
        <v>29</v>
      </c>
      <c r="C110" s="12" t="s">
        <v>482</v>
      </c>
      <c r="D110" s="12" t="s">
        <v>743</v>
      </c>
      <c r="E110" s="12" t="s">
        <v>383</v>
      </c>
      <c r="F110" s="12" t="s">
        <v>641</v>
      </c>
    </row>
    <row r="111" customFormat="false" ht="84" hidden="false" customHeight="true" outlineLevel="0" collapsed="false">
      <c r="A111" s="12" t="s">
        <v>384</v>
      </c>
      <c r="B111" s="12" t="s">
        <v>29</v>
      </c>
      <c r="C111" s="12" t="s">
        <v>480</v>
      </c>
      <c r="D111" s="12" t="s">
        <v>744</v>
      </c>
      <c r="E111" s="12" t="s">
        <v>386</v>
      </c>
      <c r="F111" s="12" t="s">
        <v>641</v>
      </c>
    </row>
    <row r="112" customFormat="false" ht="84" hidden="false" customHeight="true" outlineLevel="0" collapsed="false">
      <c r="A112" s="12" t="s">
        <v>387</v>
      </c>
      <c r="B112" s="12" t="s">
        <v>29</v>
      </c>
      <c r="C112" s="12" t="s">
        <v>480</v>
      </c>
      <c r="D112" s="12" t="s">
        <v>745</v>
      </c>
      <c r="E112" s="12" t="s">
        <v>389</v>
      </c>
      <c r="F112" s="12" t="s">
        <v>641</v>
      </c>
    </row>
    <row r="113" customFormat="false" ht="84" hidden="false" customHeight="true" outlineLevel="0" collapsed="false">
      <c r="A113" s="12" t="s">
        <v>391</v>
      </c>
      <c r="B113" s="12" t="s">
        <v>29</v>
      </c>
      <c r="C113" s="12" t="s">
        <v>483</v>
      </c>
      <c r="D113" s="12" t="s">
        <v>746</v>
      </c>
      <c r="E113" s="12" t="s">
        <v>393</v>
      </c>
      <c r="F113" s="12" t="s">
        <v>641</v>
      </c>
    </row>
    <row r="114" customFormat="false" ht="84" hidden="false" customHeight="true" outlineLevel="0" collapsed="false">
      <c r="A114" s="12" t="s">
        <v>395</v>
      </c>
      <c r="B114" s="12" t="s">
        <v>30</v>
      </c>
      <c r="C114" s="12" t="s">
        <v>480</v>
      </c>
      <c r="D114" s="12" t="s">
        <v>747</v>
      </c>
      <c r="E114" s="12" t="s">
        <v>397</v>
      </c>
      <c r="F114" s="12" t="s">
        <v>645</v>
      </c>
    </row>
    <row r="115" customFormat="false" ht="84" hidden="false" customHeight="true" outlineLevel="0" collapsed="false">
      <c r="A115" s="12" t="s">
        <v>398</v>
      </c>
      <c r="B115" s="12" t="s">
        <v>30</v>
      </c>
      <c r="C115" s="12" t="s">
        <v>480</v>
      </c>
      <c r="D115" s="12" t="s">
        <v>748</v>
      </c>
      <c r="E115" s="12" t="s">
        <v>400</v>
      </c>
      <c r="F115" s="12" t="s">
        <v>645</v>
      </c>
    </row>
    <row r="116" customFormat="false" ht="84" hidden="false" customHeight="true" outlineLevel="0" collapsed="false">
      <c r="A116" s="12" t="s">
        <v>401</v>
      </c>
      <c r="B116" s="12" t="s">
        <v>30</v>
      </c>
      <c r="C116" s="12" t="s">
        <v>480</v>
      </c>
      <c r="D116" s="12" t="s">
        <v>749</v>
      </c>
      <c r="E116" s="12" t="s">
        <v>403</v>
      </c>
      <c r="F116" s="12" t="s">
        <v>645</v>
      </c>
    </row>
    <row r="117" customFormat="false" ht="84" hidden="false" customHeight="true" outlineLevel="0" collapsed="false">
      <c r="A117" s="12" t="s">
        <v>404</v>
      </c>
      <c r="B117" s="12" t="s">
        <v>30</v>
      </c>
      <c r="C117" s="12" t="s">
        <v>480</v>
      </c>
      <c r="D117" s="12" t="s">
        <v>750</v>
      </c>
      <c r="E117" s="12" t="s">
        <v>406</v>
      </c>
      <c r="F117" s="12" t="s">
        <v>645</v>
      </c>
    </row>
    <row r="118" customFormat="false" ht="84" hidden="false" customHeight="true" outlineLevel="0" collapsed="false">
      <c r="A118" s="12" t="s">
        <v>407</v>
      </c>
      <c r="B118" s="12" t="s">
        <v>30</v>
      </c>
      <c r="C118" s="12" t="s">
        <v>480</v>
      </c>
      <c r="D118" s="12" t="s">
        <v>751</v>
      </c>
      <c r="E118" s="12" t="s">
        <v>409</v>
      </c>
      <c r="F118" s="12" t="s">
        <v>645</v>
      </c>
    </row>
    <row r="119" customFormat="false" ht="84" hidden="false" customHeight="true" outlineLevel="0" collapsed="false">
      <c r="A119" s="12" t="s">
        <v>410</v>
      </c>
      <c r="B119" s="12" t="s">
        <v>30</v>
      </c>
      <c r="C119" s="12" t="s">
        <v>480</v>
      </c>
      <c r="D119" s="12" t="s">
        <v>752</v>
      </c>
      <c r="E119" s="12" t="s">
        <v>412</v>
      </c>
      <c r="F119" s="12" t="s">
        <v>645</v>
      </c>
    </row>
    <row r="120" customFormat="false" ht="84" hidden="false" customHeight="true" outlineLevel="0" collapsed="false">
      <c r="A120" s="12" t="s">
        <v>413</v>
      </c>
      <c r="B120" s="12" t="s">
        <v>30</v>
      </c>
      <c r="C120" s="12" t="s">
        <v>480</v>
      </c>
      <c r="D120" s="12" t="s">
        <v>753</v>
      </c>
      <c r="E120" s="12" t="s">
        <v>415</v>
      </c>
      <c r="F120" s="12" t="s">
        <v>645</v>
      </c>
    </row>
    <row r="121" customFormat="false" ht="84" hidden="false" customHeight="true" outlineLevel="0" collapsed="false">
      <c r="A121" s="12" t="s">
        <v>416</v>
      </c>
      <c r="B121" s="12" t="s">
        <v>30</v>
      </c>
      <c r="C121" s="12" t="s">
        <v>480</v>
      </c>
      <c r="D121" s="12" t="s">
        <v>754</v>
      </c>
      <c r="E121" s="12" t="s">
        <v>418</v>
      </c>
      <c r="F121" s="12" t="s">
        <v>645</v>
      </c>
    </row>
    <row r="122" customFormat="false" ht="84" hidden="false" customHeight="true" outlineLevel="0" collapsed="false">
      <c r="A122" s="12" t="s">
        <v>419</v>
      </c>
      <c r="B122" s="12" t="s">
        <v>32</v>
      </c>
      <c r="C122" s="12" t="s">
        <v>480</v>
      </c>
      <c r="D122" s="12" t="s">
        <v>755</v>
      </c>
      <c r="E122" s="12" t="s">
        <v>421</v>
      </c>
      <c r="F122" s="12" t="s">
        <v>650</v>
      </c>
    </row>
    <row r="123" customFormat="false" ht="84" hidden="false" customHeight="true" outlineLevel="0" collapsed="false">
      <c r="A123" s="12" t="s">
        <v>422</v>
      </c>
      <c r="B123" s="12" t="s">
        <v>32</v>
      </c>
      <c r="C123" s="12" t="s">
        <v>482</v>
      </c>
      <c r="D123" s="12" t="s">
        <v>756</v>
      </c>
      <c r="E123" s="12" t="s">
        <v>424</v>
      </c>
      <c r="F123" s="12" t="s">
        <v>650</v>
      </c>
    </row>
    <row r="124" customFormat="false" ht="84" hidden="false" customHeight="true" outlineLevel="0" collapsed="false">
      <c r="A124" s="12" t="s">
        <v>425</v>
      </c>
      <c r="B124" s="12" t="s">
        <v>32</v>
      </c>
      <c r="C124" s="12" t="s">
        <v>482</v>
      </c>
      <c r="D124" s="12" t="s">
        <v>757</v>
      </c>
      <c r="E124" s="12" t="s">
        <v>427</v>
      </c>
      <c r="F124" s="12" t="s">
        <v>650</v>
      </c>
    </row>
    <row r="125" customFormat="false" ht="84" hidden="false" customHeight="true" outlineLevel="0" collapsed="false">
      <c r="A125" s="12" t="s">
        <v>428</v>
      </c>
      <c r="B125" s="12" t="s">
        <v>32</v>
      </c>
      <c r="C125" s="12" t="s">
        <v>480</v>
      </c>
      <c r="D125" s="12" t="s">
        <v>758</v>
      </c>
      <c r="E125" s="12" t="s">
        <v>430</v>
      </c>
      <c r="F125" s="12" t="s">
        <v>650</v>
      </c>
    </row>
    <row r="126" customFormat="false" ht="84" hidden="false" customHeight="true" outlineLevel="0" collapsed="false">
      <c r="A126" s="12" t="s">
        <v>431</v>
      </c>
      <c r="B126" s="12" t="s">
        <v>32</v>
      </c>
      <c r="C126" s="12" t="s">
        <v>482</v>
      </c>
      <c r="D126" s="12" t="s">
        <v>759</v>
      </c>
      <c r="E126" s="12" t="s">
        <v>433</v>
      </c>
      <c r="F126" s="12" t="s">
        <v>650</v>
      </c>
    </row>
    <row r="127" customFormat="false" ht="84" hidden="false" customHeight="true" outlineLevel="0" collapsed="false">
      <c r="A127" s="12" t="s">
        <v>434</v>
      </c>
      <c r="B127" s="12" t="s">
        <v>32</v>
      </c>
      <c r="C127" s="12" t="s">
        <v>482</v>
      </c>
      <c r="D127" s="12" t="s">
        <v>760</v>
      </c>
      <c r="E127" s="12" t="s">
        <v>436</v>
      </c>
      <c r="F127" s="12" t="s">
        <v>650</v>
      </c>
    </row>
    <row r="128" customFormat="false" ht="84" hidden="false" customHeight="true" outlineLevel="0" collapsed="false">
      <c r="A128" s="12" t="s">
        <v>437</v>
      </c>
      <c r="B128" s="12" t="s">
        <v>32</v>
      </c>
      <c r="C128" s="12" t="s">
        <v>480</v>
      </c>
      <c r="D128" s="12" t="s">
        <v>761</v>
      </c>
      <c r="E128" s="12" t="s">
        <v>439</v>
      </c>
      <c r="F128" s="12" t="s">
        <v>650</v>
      </c>
    </row>
    <row r="129" customFormat="false" ht="84" hidden="false" customHeight="true" outlineLevel="0" collapsed="false">
      <c r="A129" s="12" t="s">
        <v>440</v>
      </c>
      <c r="B129" s="12" t="s">
        <v>32</v>
      </c>
      <c r="C129" s="12" t="s">
        <v>480</v>
      </c>
      <c r="D129" s="12" t="s">
        <v>762</v>
      </c>
      <c r="E129" s="12" t="s">
        <v>442</v>
      </c>
      <c r="F129" s="12" t="s">
        <v>650</v>
      </c>
    </row>
    <row r="130" customFormat="false" ht="84" hidden="false" customHeight="true" outlineLevel="0" collapsed="false">
      <c r="A130" s="12" t="s">
        <v>443</v>
      </c>
      <c r="B130" s="12" t="s">
        <v>33</v>
      </c>
      <c r="C130" s="12" t="s">
        <v>480</v>
      </c>
      <c r="D130" s="12" t="s">
        <v>763</v>
      </c>
      <c r="E130" s="12" t="s">
        <v>445</v>
      </c>
      <c r="F130" s="12" t="s">
        <v>654</v>
      </c>
    </row>
    <row r="131" customFormat="false" ht="84" hidden="false" customHeight="true" outlineLevel="0" collapsed="false">
      <c r="A131" s="12" t="s">
        <v>446</v>
      </c>
      <c r="B131" s="12" t="s">
        <v>33</v>
      </c>
      <c r="C131" s="12" t="s">
        <v>482</v>
      </c>
      <c r="D131" s="12" t="s">
        <v>764</v>
      </c>
      <c r="E131" s="12" t="s">
        <v>448</v>
      </c>
      <c r="F131" s="12" t="s">
        <v>654</v>
      </c>
    </row>
    <row r="132" customFormat="false" ht="84" hidden="false" customHeight="true" outlineLevel="0" collapsed="false">
      <c r="A132" s="12" t="s">
        <v>449</v>
      </c>
      <c r="B132" s="12" t="s">
        <v>33</v>
      </c>
      <c r="C132" s="12" t="s">
        <v>482</v>
      </c>
      <c r="D132" s="12" t="s">
        <v>765</v>
      </c>
      <c r="E132" s="12" t="s">
        <v>451</v>
      </c>
      <c r="F132" s="12" t="s">
        <v>654</v>
      </c>
    </row>
    <row r="133" customFormat="false" ht="84" hidden="false" customHeight="true" outlineLevel="0" collapsed="false">
      <c r="A133" s="12" t="s">
        <v>452</v>
      </c>
      <c r="B133" s="12" t="s">
        <v>33</v>
      </c>
      <c r="C133" s="12" t="s">
        <v>482</v>
      </c>
      <c r="D133" s="12" t="s">
        <v>766</v>
      </c>
      <c r="E133" s="12" t="s">
        <v>454</v>
      </c>
      <c r="F133" s="12" t="s">
        <v>654</v>
      </c>
    </row>
    <row r="134" customFormat="false" ht="84" hidden="false" customHeight="true" outlineLevel="0" collapsed="false">
      <c r="A134" s="12" t="s">
        <v>455</v>
      </c>
      <c r="B134" s="12" t="s">
        <v>33</v>
      </c>
      <c r="C134" s="12" t="s">
        <v>480</v>
      </c>
      <c r="D134" s="12" t="s">
        <v>767</v>
      </c>
      <c r="E134" s="12" t="s">
        <v>457</v>
      </c>
      <c r="F134" s="12" t="s">
        <v>654</v>
      </c>
    </row>
    <row r="135" customFormat="false" ht="84" hidden="false" customHeight="true" outlineLevel="0" collapsed="false">
      <c r="A135" s="12" t="s">
        <v>458</v>
      </c>
      <c r="B135" s="12" t="s">
        <v>33</v>
      </c>
      <c r="C135" s="12" t="s">
        <v>482</v>
      </c>
      <c r="D135" s="12" t="s">
        <v>768</v>
      </c>
      <c r="E135" s="12" t="s">
        <v>460</v>
      </c>
      <c r="F135" s="12" t="s">
        <v>654</v>
      </c>
    </row>
    <row r="136" customFormat="false" ht="84" hidden="false" customHeight="true" outlineLevel="0" collapsed="false">
      <c r="A136" s="12" t="s">
        <v>461</v>
      </c>
      <c r="B136" s="12" t="s">
        <v>33</v>
      </c>
      <c r="C136" s="12" t="s">
        <v>482</v>
      </c>
      <c r="D136" s="12" t="s">
        <v>769</v>
      </c>
      <c r="E136" s="12" t="s">
        <v>463</v>
      </c>
      <c r="F136" s="12" t="s">
        <v>654</v>
      </c>
    </row>
    <row r="137" customFormat="false" ht="84" hidden="false" customHeight="true" outlineLevel="0" collapsed="false">
      <c r="A137" s="12" t="s">
        <v>464</v>
      </c>
      <c r="B137" s="12" t="s">
        <v>33</v>
      </c>
      <c r="C137" s="12" t="s">
        <v>480</v>
      </c>
      <c r="D137" s="12" t="s">
        <v>770</v>
      </c>
      <c r="E137" s="12" t="s">
        <v>466</v>
      </c>
      <c r="F137" s="12" t="s">
        <v>654</v>
      </c>
    </row>
    <row r="138" customFormat="false" ht="15" hidden="false" customHeight="true" outlineLevel="0" collapsed="false">
      <c r="A138" s="2"/>
      <c r="B138" s="2"/>
      <c r="C138" s="2"/>
      <c r="D138" s="2"/>
      <c r="E138" s="2"/>
      <c r="F138" s="2"/>
    </row>
    <row r="139" customFormat="false" ht="15" hidden="false" customHeight="true" outlineLevel="0" collapsed="false">
      <c r="A139" s="2"/>
      <c r="B139" s="2"/>
      <c r="C139" s="2"/>
      <c r="D139" s="2"/>
      <c r="E139" s="2"/>
      <c r="F139" s="2"/>
    </row>
    <row r="140" customFormat="false" ht="27.75" hidden="false" customHeight="true" outlineLevel="0" collapsed="false">
      <c r="A140" s="4" t="s">
        <v>771</v>
      </c>
      <c r="B140" s="4"/>
      <c r="C140" s="4"/>
      <c r="D140" s="4"/>
      <c r="E140" s="4"/>
      <c r="F140" s="4"/>
    </row>
    <row r="141" customFormat="false" ht="27.75" hidden="false" customHeight="true" outlineLevel="0" collapsed="false">
      <c r="A141" s="4"/>
      <c r="B141" s="4"/>
      <c r="C141" s="4"/>
      <c r="D141" s="4"/>
      <c r="E141" s="4"/>
      <c r="F141" s="4"/>
    </row>
    <row r="142" customFormat="false" ht="27.75" hidden="false" customHeight="true" outlineLevel="0" collapsed="false">
      <c r="A142" s="4"/>
      <c r="B142" s="4"/>
      <c r="C142" s="4"/>
      <c r="D142" s="4"/>
      <c r="E142" s="4"/>
      <c r="F142" s="4"/>
    </row>
    <row r="143" customFormat="false" ht="15" hidden="false" customHeight="true" outlineLevel="0" collapsed="false">
      <c r="A143" s="2"/>
      <c r="B143" s="2"/>
      <c r="C143" s="2"/>
      <c r="D143" s="2"/>
      <c r="E143" s="2"/>
      <c r="F143" s="2"/>
    </row>
    <row r="144" customFormat="false" ht="15" hidden="false" customHeight="true" outlineLevel="0" collapsed="false">
      <c r="A144" s="2"/>
      <c r="B144" s="2"/>
      <c r="C144" s="2"/>
      <c r="D144" s="2"/>
      <c r="E144" s="2"/>
      <c r="F144" s="2"/>
    </row>
    <row r="145" customFormat="false" ht="15" hidden="false" customHeight="true" outlineLevel="0" collapsed="false">
      <c r="A145" s="2"/>
      <c r="B145" s="2"/>
      <c r="C145" s="2"/>
      <c r="D145" s="2"/>
      <c r="E145" s="2"/>
      <c r="F145" s="2"/>
    </row>
    <row r="146" customFormat="false" ht="15" hidden="false" customHeight="true" outlineLevel="0" collapsed="false">
      <c r="A146" s="2"/>
      <c r="B146" s="2"/>
      <c r="C146" s="2"/>
      <c r="D146" s="2"/>
      <c r="E146" s="2"/>
      <c r="F146" s="2"/>
    </row>
  </sheetData>
  <mergeCells count="4">
    <mergeCell ref="A2:F2"/>
    <mergeCell ref="A3:F3"/>
    <mergeCell ref="A21:F22"/>
    <mergeCell ref="A140:F14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0"/>
    <col collapsed="false" customWidth="true" hidden="false" outlineLevel="0" max="3" min="3" style="1" width="55"/>
    <col collapsed="false" customWidth="true" hidden="false" outlineLevel="0" max="4" min="4" style="1" width="64"/>
  </cols>
  <sheetData>
    <row r="1" customFormat="false" ht="15" hidden="false" customHeight="true" outlineLevel="0" collapsed="false">
      <c r="A1" s="2"/>
      <c r="B1" s="2"/>
      <c r="C1" s="2"/>
      <c r="D1" s="2"/>
    </row>
    <row r="2" customFormat="false" ht="30" hidden="false" customHeight="true" outlineLevel="0" collapsed="false">
      <c r="A2" s="2"/>
      <c r="B2" s="3" t="s">
        <v>772</v>
      </c>
      <c r="C2" s="3"/>
      <c r="D2" s="3"/>
    </row>
    <row r="3" customFormat="false" ht="15" hidden="false" customHeight="true" outlineLevel="0" collapsed="false">
      <c r="A3" s="2"/>
      <c r="B3" s="2"/>
      <c r="C3" s="2"/>
      <c r="D3" s="2"/>
    </row>
    <row r="4" customFormat="false" ht="15" hidden="false" customHeight="true" outlineLevel="0" collapsed="false">
      <c r="A4" s="2"/>
      <c r="B4" s="2"/>
      <c r="C4" s="2"/>
      <c r="D4" s="2"/>
    </row>
    <row r="5" customFormat="false" ht="25.5" hidden="false" customHeight="true" outlineLevel="0" collapsed="false">
      <c r="A5" s="2"/>
      <c r="B5" s="39" t="s">
        <v>773</v>
      </c>
      <c r="C5" s="40" t="s">
        <v>774</v>
      </c>
      <c r="D5" s="40"/>
    </row>
    <row r="6" customFormat="false" ht="25.5" hidden="false" customHeight="true" outlineLevel="0" collapsed="false">
      <c r="A6" s="2"/>
      <c r="B6" s="41"/>
      <c r="C6" s="40"/>
      <c r="D6" s="40"/>
    </row>
    <row r="7" customFormat="false" ht="25.5" hidden="false" customHeight="true" outlineLevel="0" collapsed="false">
      <c r="A7" s="2"/>
      <c r="B7" s="42" t="s">
        <v>775</v>
      </c>
      <c r="C7" s="10" t="s">
        <v>776</v>
      </c>
      <c r="D7" s="10"/>
    </row>
    <row r="8" customFormat="false" ht="25.5" hidden="false" customHeight="true" outlineLevel="0" collapsed="false">
      <c r="A8" s="2"/>
      <c r="B8" s="12"/>
      <c r="C8" s="10"/>
      <c r="D8" s="10"/>
    </row>
    <row r="9" customFormat="false" ht="25.5" hidden="false" customHeight="true" outlineLevel="0" collapsed="false">
      <c r="A9" s="2"/>
      <c r="B9" s="39" t="s">
        <v>777</v>
      </c>
      <c r="C9" s="40" t="s">
        <v>778</v>
      </c>
      <c r="D9" s="40"/>
    </row>
    <row r="10" customFormat="false" ht="25.5" hidden="false" customHeight="true" outlineLevel="0" collapsed="false">
      <c r="A10" s="2"/>
      <c r="B10" s="41"/>
      <c r="C10" s="40"/>
      <c r="D10" s="40"/>
    </row>
    <row r="11" customFormat="false" ht="25.5" hidden="false" customHeight="true" outlineLevel="0" collapsed="false">
      <c r="A11" s="2"/>
      <c r="B11" s="42" t="s">
        <v>779</v>
      </c>
      <c r="C11" s="10" t="s">
        <v>780</v>
      </c>
      <c r="D11" s="10"/>
    </row>
    <row r="12" customFormat="false" ht="25.5" hidden="false" customHeight="true" outlineLevel="0" collapsed="false">
      <c r="A12" s="2"/>
      <c r="B12" s="12"/>
      <c r="C12" s="10"/>
      <c r="D12" s="10"/>
    </row>
    <row r="13" customFormat="false" ht="25.5" hidden="false" customHeight="true" outlineLevel="0" collapsed="false">
      <c r="A13" s="2"/>
      <c r="B13" s="39" t="s">
        <v>781</v>
      </c>
      <c r="C13" s="40" t="s">
        <v>782</v>
      </c>
      <c r="D13" s="40"/>
    </row>
    <row r="14" customFormat="false" ht="25.5" hidden="false" customHeight="true" outlineLevel="0" collapsed="false">
      <c r="A14" s="2"/>
      <c r="B14" s="41"/>
      <c r="C14" s="40"/>
      <c r="D14" s="40"/>
    </row>
    <row r="15" customFormat="false" ht="25.5" hidden="false" customHeight="true" outlineLevel="0" collapsed="false">
      <c r="A15" s="2"/>
      <c r="B15" s="42" t="s">
        <v>783</v>
      </c>
      <c r="C15" s="10" t="s">
        <v>784</v>
      </c>
      <c r="D15" s="10"/>
    </row>
    <row r="16" customFormat="false" ht="25.5" hidden="false" customHeight="true" outlineLevel="0" collapsed="false">
      <c r="A16" s="2"/>
      <c r="B16" s="12"/>
      <c r="C16" s="10"/>
      <c r="D16" s="10"/>
    </row>
    <row r="17" customFormat="false" ht="25.5" hidden="false" customHeight="true" outlineLevel="0" collapsed="false">
      <c r="A17" s="2"/>
      <c r="B17" s="39" t="s">
        <v>785</v>
      </c>
      <c r="C17" s="40" t="s">
        <v>786</v>
      </c>
      <c r="D17" s="40"/>
    </row>
    <row r="18" customFormat="false" ht="25.5" hidden="false" customHeight="true" outlineLevel="0" collapsed="false">
      <c r="A18" s="2"/>
      <c r="B18" s="41"/>
      <c r="C18" s="40"/>
      <c r="D18" s="40"/>
    </row>
    <row r="19" customFormat="false" ht="25.5" hidden="false" customHeight="true" outlineLevel="0" collapsed="false">
      <c r="A19" s="2"/>
      <c r="B19" s="42" t="s">
        <v>787</v>
      </c>
      <c r="C19" s="10" t="s">
        <v>788</v>
      </c>
      <c r="D19" s="10"/>
    </row>
    <row r="20" customFormat="false" ht="25.5" hidden="false" customHeight="true" outlineLevel="0" collapsed="false">
      <c r="A20" s="2"/>
      <c r="B20" s="12"/>
      <c r="C20" s="10"/>
      <c r="D20" s="10"/>
    </row>
    <row r="21" customFormat="false" ht="25.5" hidden="false" customHeight="true" outlineLevel="0" collapsed="false">
      <c r="A21" s="2"/>
      <c r="B21" s="39" t="s">
        <v>789</v>
      </c>
      <c r="C21" s="40" t="s">
        <v>790</v>
      </c>
      <c r="D21" s="40"/>
    </row>
    <row r="22" customFormat="false" ht="25.5" hidden="false" customHeight="true" outlineLevel="0" collapsed="false">
      <c r="A22" s="2"/>
      <c r="B22" s="41"/>
      <c r="C22" s="40"/>
      <c r="D22" s="40"/>
    </row>
    <row r="23" customFormat="false" ht="25.5" hidden="false" customHeight="true" outlineLevel="0" collapsed="false">
      <c r="A23" s="2"/>
      <c r="B23" s="42" t="s">
        <v>791</v>
      </c>
      <c r="C23" s="10" t="s">
        <v>792</v>
      </c>
      <c r="D23" s="10"/>
    </row>
    <row r="24" customFormat="false" ht="25.5" hidden="false" customHeight="true" outlineLevel="0" collapsed="false">
      <c r="A24" s="2"/>
      <c r="B24" s="12"/>
      <c r="C24" s="10"/>
      <c r="D24" s="10"/>
    </row>
    <row r="25" customFormat="false" ht="25.5" hidden="false" customHeight="true" outlineLevel="0" collapsed="false">
      <c r="A25" s="2"/>
      <c r="B25" s="39" t="s">
        <v>793</v>
      </c>
      <c r="C25" s="40" t="s">
        <v>794</v>
      </c>
      <c r="D25" s="40"/>
    </row>
    <row r="26" customFormat="false" ht="25.5" hidden="false" customHeight="true" outlineLevel="0" collapsed="false">
      <c r="A26" s="2"/>
      <c r="B26" s="41"/>
      <c r="C26" s="40"/>
      <c r="D26" s="40"/>
    </row>
    <row r="27" customFormat="false" ht="25.5" hidden="false" customHeight="true" outlineLevel="0" collapsed="false">
      <c r="A27" s="2"/>
      <c r="B27" s="42" t="s">
        <v>795</v>
      </c>
      <c r="C27" s="10" t="s">
        <v>796</v>
      </c>
      <c r="D27" s="10"/>
    </row>
    <row r="28" customFormat="false" ht="25.5" hidden="false" customHeight="true" outlineLevel="0" collapsed="false">
      <c r="A28" s="2"/>
      <c r="B28" s="12"/>
      <c r="C28" s="10"/>
      <c r="D28" s="10"/>
    </row>
    <row r="29" customFormat="false" ht="25.5" hidden="false" customHeight="true" outlineLevel="0" collapsed="false">
      <c r="A29" s="2"/>
      <c r="B29" s="39" t="s">
        <v>797</v>
      </c>
      <c r="C29" s="40" t="s">
        <v>798</v>
      </c>
      <c r="D29" s="40"/>
    </row>
    <row r="30" customFormat="false" ht="25.5" hidden="false" customHeight="true" outlineLevel="0" collapsed="false">
      <c r="A30" s="2"/>
      <c r="B30" s="41"/>
      <c r="C30" s="40"/>
      <c r="D30" s="40"/>
    </row>
    <row r="31" customFormat="false" ht="25.5" hidden="false" customHeight="true" outlineLevel="0" collapsed="false">
      <c r="A31" s="2"/>
      <c r="B31" s="42" t="s">
        <v>799</v>
      </c>
      <c r="C31" s="10" t="s">
        <v>800</v>
      </c>
      <c r="D31" s="10"/>
    </row>
    <row r="32" customFormat="false" ht="25.5" hidden="false" customHeight="true" outlineLevel="0" collapsed="false">
      <c r="A32" s="2"/>
      <c r="B32" s="12"/>
      <c r="C32" s="10"/>
      <c r="D32" s="10"/>
    </row>
    <row r="33" customFormat="false" ht="25.5" hidden="false" customHeight="true" outlineLevel="0" collapsed="false">
      <c r="A33" s="2"/>
      <c r="B33" s="39" t="s">
        <v>801</v>
      </c>
      <c r="C33" s="40" t="s">
        <v>802</v>
      </c>
      <c r="D33" s="40"/>
    </row>
    <row r="34" customFormat="false" ht="25.5" hidden="false" customHeight="true" outlineLevel="0" collapsed="false">
      <c r="A34" s="2"/>
      <c r="B34" s="41"/>
      <c r="C34" s="40"/>
      <c r="D34" s="40"/>
    </row>
    <row r="35" customFormat="false" ht="25.5" hidden="false" customHeight="true" outlineLevel="0" collapsed="false">
      <c r="A35" s="2"/>
      <c r="B35" s="42" t="s">
        <v>803</v>
      </c>
      <c r="C35" s="10" t="s">
        <v>804</v>
      </c>
      <c r="D35" s="10"/>
    </row>
    <row r="36" customFormat="false" ht="25.5" hidden="false" customHeight="true" outlineLevel="0" collapsed="false">
      <c r="A36" s="2"/>
      <c r="B36" s="12"/>
      <c r="C36" s="10"/>
      <c r="D36" s="10"/>
    </row>
    <row r="37" customFormat="false" ht="25.5" hidden="false" customHeight="true" outlineLevel="0" collapsed="false">
      <c r="A37" s="2"/>
      <c r="B37" s="39" t="s">
        <v>805</v>
      </c>
      <c r="C37" s="40" t="s">
        <v>806</v>
      </c>
      <c r="D37" s="40"/>
    </row>
    <row r="38" customFormat="false" ht="25.5" hidden="false" customHeight="true" outlineLevel="0" collapsed="false">
      <c r="A38" s="2"/>
      <c r="B38" s="41"/>
      <c r="C38" s="40"/>
      <c r="D38" s="40"/>
    </row>
    <row r="39" customFormat="false" ht="25.5" hidden="false" customHeight="true" outlineLevel="0" collapsed="false">
      <c r="A39" s="2"/>
      <c r="B39" s="42" t="s">
        <v>807</v>
      </c>
      <c r="C39" s="10" t="s">
        <v>808</v>
      </c>
      <c r="D39" s="10"/>
    </row>
    <row r="40" customFormat="false" ht="25.5" hidden="false" customHeight="true" outlineLevel="0" collapsed="false">
      <c r="A40" s="2"/>
      <c r="B40" s="12"/>
      <c r="C40" s="10"/>
      <c r="D40" s="10"/>
    </row>
    <row r="41" customFormat="false" ht="25.5" hidden="false" customHeight="true" outlineLevel="0" collapsed="false">
      <c r="A41" s="2"/>
      <c r="B41" s="39" t="s">
        <v>809</v>
      </c>
      <c r="C41" s="40" t="s">
        <v>810</v>
      </c>
      <c r="D41" s="40"/>
    </row>
    <row r="42" customFormat="false" ht="25.5" hidden="false" customHeight="true" outlineLevel="0" collapsed="false">
      <c r="A42" s="2"/>
      <c r="B42" s="41"/>
      <c r="C42" s="40"/>
      <c r="D42" s="40"/>
    </row>
    <row r="43" customFormat="false" ht="25.5" hidden="false" customHeight="true" outlineLevel="0" collapsed="false">
      <c r="A43" s="2"/>
      <c r="B43" s="42" t="s">
        <v>811</v>
      </c>
      <c r="C43" s="10" t="s">
        <v>812</v>
      </c>
      <c r="D43" s="10"/>
    </row>
    <row r="44" customFormat="false" ht="25.5" hidden="false" customHeight="true" outlineLevel="0" collapsed="false">
      <c r="A44" s="2"/>
      <c r="B44" s="12"/>
      <c r="C44" s="10"/>
      <c r="D44" s="10"/>
    </row>
    <row r="45" customFormat="false" ht="25.5" hidden="false" customHeight="true" outlineLevel="0" collapsed="false">
      <c r="A45" s="2"/>
      <c r="B45" s="42" t="s">
        <v>813</v>
      </c>
      <c r="C45" s="12" t="s">
        <v>814</v>
      </c>
      <c r="D45" s="2"/>
    </row>
    <row r="46" customFormat="false" ht="15" hidden="false" customHeight="true" outlineLevel="0" collapsed="false">
      <c r="A46" s="2"/>
      <c r="B46" s="2"/>
      <c r="C46" s="2"/>
      <c r="D46" s="2"/>
    </row>
    <row r="47" customFormat="false" ht="15" hidden="false" customHeight="true" outlineLevel="0" collapsed="false">
      <c r="A47" s="2"/>
      <c r="B47" s="2"/>
      <c r="C47" s="2"/>
      <c r="D47" s="2"/>
    </row>
    <row r="48" customFormat="false" ht="15" hidden="false" customHeight="true" outlineLevel="0" collapsed="false">
      <c r="A48" s="2"/>
      <c r="B48" s="2"/>
      <c r="C48" s="2"/>
      <c r="D48" s="2"/>
    </row>
    <row r="49" customFormat="false" ht="15" hidden="false" customHeight="true" outlineLevel="0" collapsed="false">
      <c r="A49" s="2"/>
      <c r="B49" s="2"/>
      <c r="C49" s="2"/>
      <c r="D49" s="2"/>
    </row>
    <row r="50" customFormat="false" ht="15" hidden="false" customHeight="true" outlineLevel="0" collapsed="false">
      <c r="A50" s="2"/>
      <c r="B50" s="2"/>
      <c r="C50" s="2"/>
      <c r="D50" s="2"/>
    </row>
    <row r="51" customFormat="false" ht="15" hidden="false" customHeight="true" outlineLevel="0" collapsed="false">
      <c r="A51" s="2"/>
      <c r="B51" s="2"/>
      <c r="C51" s="2"/>
      <c r="D51" s="2"/>
    </row>
    <row r="52" customFormat="false" ht="15" hidden="false" customHeight="true" outlineLevel="0" collapsed="false">
      <c r="A52" s="2"/>
      <c r="B52" s="2"/>
      <c r="C52" s="2"/>
      <c r="D52" s="2"/>
    </row>
    <row r="53" customFormat="false" ht="15" hidden="false" customHeight="true" outlineLevel="0" collapsed="false">
      <c r="A53" s="2"/>
      <c r="B53" s="2"/>
      <c r="C53" s="2"/>
      <c r="D53" s="2"/>
    </row>
    <row r="54" customFormat="false" ht="15" hidden="false" customHeight="true" outlineLevel="0" collapsed="false">
      <c r="A54" s="2"/>
      <c r="B54" s="2"/>
      <c r="C54" s="2"/>
      <c r="D54" s="2"/>
    </row>
    <row r="55" customFormat="false" ht="15" hidden="false" customHeight="true" outlineLevel="0" collapsed="false">
      <c r="A55" s="2"/>
      <c r="B55" s="2"/>
      <c r="C55" s="2"/>
      <c r="D55" s="2"/>
    </row>
    <row r="56" customFormat="false" ht="15" hidden="false" customHeight="true" outlineLevel="0" collapsed="false">
      <c r="A56" s="2"/>
      <c r="B56" s="2"/>
      <c r="C56" s="2"/>
      <c r="D56" s="2"/>
    </row>
    <row r="57" customFormat="false" ht="15" hidden="false" customHeight="true" outlineLevel="0" collapsed="false">
      <c r="A57" s="2"/>
      <c r="B57" s="2"/>
      <c r="C57" s="2"/>
      <c r="D57" s="2"/>
    </row>
    <row r="58" customFormat="false" ht="15" hidden="false" customHeight="true" outlineLevel="0" collapsed="false">
      <c r="A58" s="2"/>
      <c r="B58" s="2"/>
      <c r="C58" s="2"/>
      <c r="D58" s="2"/>
    </row>
    <row r="59" customFormat="false" ht="15" hidden="false" customHeight="true" outlineLevel="0" collapsed="false">
      <c r="A59" s="2"/>
      <c r="B59" s="2"/>
      <c r="C59" s="2"/>
      <c r="D59" s="2"/>
    </row>
    <row r="60" customFormat="false" ht="15" hidden="false" customHeight="true" outlineLevel="0" collapsed="false">
      <c r="A60" s="2"/>
      <c r="B60" s="2"/>
      <c r="C60" s="2"/>
      <c r="D60" s="2"/>
    </row>
    <row r="61" customFormat="false" ht="15" hidden="false" customHeight="true" outlineLevel="0" collapsed="false">
      <c r="A61" s="2"/>
      <c r="B61" s="2"/>
      <c r="C61" s="2"/>
      <c r="D61" s="2"/>
    </row>
  </sheetData>
  <mergeCells count="21">
    <mergeCell ref="B2:D2"/>
    <mergeCell ref="C5:D6"/>
    <mergeCell ref="C7:D8"/>
    <mergeCell ref="C9:D10"/>
    <mergeCell ref="C11:D12"/>
    <mergeCell ref="C13:D14"/>
    <mergeCell ref="C15:D16"/>
    <mergeCell ref="C17:D18"/>
    <mergeCell ref="C19:D20"/>
    <mergeCell ref="C21:D22"/>
    <mergeCell ref="C23:D24"/>
    <mergeCell ref="C25:D26"/>
    <mergeCell ref="C27:D28"/>
    <mergeCell ref="C29:D30"/>
    <mergeCell ref="C31:D32"/>
    <mergeCell ref="C33:D34"/>
    <mergeCell ref="C35:D36"/>
    <mergeCell ref="C37:D38"/>
    <mergeCell ref="C39:D40"/>
    <mergeCell ref="C41:D42"/>
    <mergeCell ref="C43:D4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29"/>
    <col collapsed="false" customWidth="true" hidden="false" outlineLevel="0" max="3" min="3" style="1" width="62"/>
    <col collapsed="false" customWidth="true" hidden="false" outlineLevel="0" max="4" min="4" style="1" width="82"/>
    <col collapsed="false" customWidth="true" hidden="false" outlineLevel="0" max="5" min="5" style="1" width="88"/>
    <col collapsed="false" customWidth="true" hidden="false" outlineLevel="0" max="6" min="6" style="1" width="17"/>
  </cols>
  <sheetData>
    <row r="1" customFormat="false" ht="15" hidden="false" customHeight="true" outlineLevel="0" collapsed="false">
      <c r="A1" s="2"/>
      <c r="B1" s="2"/>
      <c r="C1" s="2"/>
      <c r="D1" s="2"/>
      <c r="E1" s="2"/>
      <c r="F1" s="2"/>
    </row>
    <row r="2" customFormat="false" ht="30" hidden="false" customHeight="true" outlineLevel="0" collapsed="false">
      <c r="A2" s="3" t="s">
        <v>815</v>
      </c>
      <c r="B2" s="3"/>
      <c r="C2" s="3"/>
      <c r="D2" s="3"/>
      <c r="E2" s="3"/>
      <c r="F2" s="3"/>
    </row>
    <row r="3" customFormat="false" ht="27.75" hidden="false" customHeight="true" outlineLevel="0" collapsed="false">
      <c r="A3" s="4" t="s">
        <v>816</v>
      </c>
      <c r="B3" s="4"/>
      <c r="C3" s="4"/>
      <c r="D3" s="4"/>
      <c r="E3" s="4"/>
      <c r="F3" s="4"/>
    </row>
    <row r="4" customFormat="false" ht="15" hidden="false" customHeight="true" outlineLevel="0" collapsed="false">
      <c r="A4" s="2"/>
      <c r="B4" s="2"/>
      <c r="C4" s="2"/>
      <c r="D4" s="2"/>
      <c r="E4" s="2"/>
      <c r="F4" s="2"/>
    </row>
    <row r="5" customFormat="false" ht="33.75" hidden="false" customHeight="true" outlineLevel="0" collapsed="false">
      <c r="A5" s="11" t="s">
        <v>817</v>
      </c>
      <c r="B5" s="11" t="s">
        <v>818</v>
      </c>
      <c r="C5" s="11" t="s">
        <v>819</v>
      </c>
      <c r="D5" s="11" t="s">
        <v>820</v>
      </c>
      <c r="E5" s="11" t="s">
        <v>821</v>
      </c>
      <c r="F5" s="11" t="s">
        <v>822</v>
      </c>
    </row>
    <row r="6" customFormat="false" ht="73.5" hidden="false" customHeight="true" outlineLevel="0" collapsed="false">
      <c r="A6" s="12" t="s">
        <v>823</v>
      </c>
      <c r="B6" s="12" t="s">
        <v>824</v>
      </c>
      <c r="C6" s="12" t="s">
        <v>825</v>
      </c>
      <c r="D6" s="43" t="s">
        <v>826</v>
      </c>
      <c r="E6" s="12" t="s">
        <v>827</v>
      </c>
      <c r="F6" s="26" t="n">
        <v>46279</v>
      </c>
    </row>
    <row r="7" customFormat="false" ht="73.5" hidden="false" customHeight="true" outlineLevel="0" collapsed="false">
      <c r="A7" s="12" t="s">
        <v>828</v>
      </c>
      <c r="B7" s="12" t="s">
        <v>829</v>
      </c>
      <c r="C7" s="12" t="s">
        <v>830</v>
      </c>
      <c r="D7" s="43" t="s">
        <v>831</v>
      </c>
      <c r="E7" s="12" t="s">
        <v>832</v>
      </c>
      <c r="F7" s="26" t="n">
        <v>46279</v>
      </c>
    </row>
    <row r="8" customFormat="false" ht="73.5" hidden="false" customHeight="true" outlineLevel="0" collapsed="false">
      <c r="A8" s="12" t="s">
        <v>833</v>
      </c>
      <c r="B8" s="12" t="s">
        <v>834</v>
      </c>
      <c r="C8" s="12" t="s">
        <v>835</v>
      </c>
      <c r="D8" s="43" t="s">
        <v>836</v>
      </c>
      <c r="E8" s="12" t="s">
        <v>837</v>
      </c>
      <c r="F8" s="26" t="n">
        <v>46279</v>
      </c>
    </row>
    <row r="9" customFormat="false" ht="73.5" hidden="false" customHeight="true" outlineLevel="0" collapsed="false">
      <c r="A9" s="12" t="s">
        <v>838</v>
      </c>
      <c r="B9" s="12" t="s">
        <v>839</v>
      </c>
      <c r="C9" s="12" t="s">
        <v>840</v>
      </c>
      <c r="D9" s="43" t="s">
        <v>841</v>
      </c>
      <c r="E9" s="12" t="s">
        <v>842</v>
      </c>
      <c r="F9" s="26" t="n">
        <v>46279</v>
      </c>
    </row>
    <row r="10" customFormat="false" ht="73.5" hidden="false" customHeight="true" outlineLevel="0" collapsed="false">
      <c r="A10" s="12" t="s">
        <v>843</v>
      </c>
      <c r="B10" s="12" t="s">
        <v>839</v>
      </c>
      <c r="C10" s="12" t="s">
        <v>844</v>
      </c>
      <c r="D10" s="43" t="s">
        <v>845</v>
      </c>
      <c r="E10" s="12" t="s">
        <v>846</v>
      </c>
      <c r="F10" s="26" t="n">
        <v>46279</v>
      </c>
    </row>
    <row r="11" customFormat="false" ht="73.5" hidden="false" customHeight="true" outlineLevel="0" collapsed="false">
      <c r="A11" s="12" t="s">
        <v>847</v>
      </c>
      <c r="B11" s="12" t="s">
        <v>848</v>
      </c>
      <c r="C11" s="12" t="s">
        <v>849</v>
      </c>
      <c r="D11" s="43" t="s">
        <v>850</v>
      </c>
      <c r="E11" s="12" t="s">
        <v>851</v>
      </c>
      <c r="F11" s="26" t="n">
        <v>46279</v>
      </c>
    </row>
    <row r="12" customFormat="false" ht="73.5" hidden="false" customHeight="true" outlineLevel="0" collapsed="false">
      <c r="A12" s="12" t="s">
        <v>852</v>
      </c>
      <c r="B12" s="12" t="s">
        <v>848</v>
      </c>
      <c r="C12" s="12" t="s">
        <v>853</v>
      </c>
      <c r="D12" s="43" t="s">
        <v>854</v>
      </c>
      <c r="E12" s="12" t="s">
        <v>855</v>
      </c>
      <c r="F12" s="26" t="n">
        <v>46279</v>
      </c>
    </row>
    <row r="13" customFormat="false" ht="73.5" hidden="false" customHeight="true" outlineLevel="0" collapsed="false">
      <c r="A13" s="12" t="s">
        <v>856</v>
      </c>
      <c r="B13" s="12" t="s">
        <v>848</v>
      </c>
      <c r="C13" s="12" t="s">
        <v>857</v>
      </c>
      <c r="D13" s="43" t="s">
        <v>858</v>
      </c>
      <c r="E13" s="12" t="s">
        <v>859</v>
      </c>
      <c r="F13" s="26" t="n">
        <v>46279</v>
      </c>
    </row>
    <row r="14" customFormat="false" ht="73.5" hidden="false" customHeight="true" outlineLevel="0" collapsed="false">
      <c r="A14" s="12" t="s">
        <v>860</v>
      </c>
      <c r="B14" s="12" t="s">
        <v>848</v>
      </c>
      <c r="C14" s="12" t="s">
        <v>861</v>
      </c>
      <c r="D14" s="43" t="s">
        <v>862</v>
      </c>
      <c r="E14" s="12" t="s">
        <v>863</v>
      </c>
      <c r="F14" s="26" t="n">
        <v>46279</v>
      </c>
    </row>
    <row r="15" customFormat="false" ht="73.5" hidden="false" customHeight="true" outlineLevel="0" collapsed="false">
      <c r="A15" s="12" t="s">
        <v>864</v>
      </c>
      <c r="B15" s="12" t="s">
        <v>848</v>
      </c>
      <c r="C15" s="12" t="s">
        <v>865</v>
      </c>
      <c r="D15" s="43" t="s">
        <v>866</v>
      </c>
      <c r="E15" s="12" t="s">
        <v>867</v>
      </c>
      <c r="F15" s="26" t="n">
        <v>46279</v>
      </c>
    </row>
    <row r="16" customFormat="false" ht="73.5" hidden="false" customHeight="true" outlineLevel="0" collapsed="false">
      <c r="A16" s="12" t="s">
        <v>868</v>
      </c>
      <c r="B16" s="12" t="s">
        <v>848</v>
      </c>
      <c r="C16" s="12" t="s">
        <v>869</v>
      </c>
      <c r="D16" s="43" t="s">
        <v>870</v>
      </c>
      <c r="E16" s="12" t="s">
        <v>871</v>
      </c>
      <c r="F16" s="26" t="n">
        <v>46279</v>
      </c>
    </row>
    <row r="17" customFormat="false" ht="73.5" hidden="false" customHeight="true" outlineLevel="0" collapsed="false">
      <c r="A17" s="12" t="s">
        <v>872</v>
      </c>
      <c r="B17" s="12" t="s">
        <v>848</v>
      </c>
      <c r="C17" s="12" t="s">
        <v>803</v>
      </c>
      <c r="D17" s="43" t="s">
        <v>873</v>
      </c>
      <c r="E17" s="12" t="s">
        <v>874</v>
      </c>
      <c r="F17" s="26" t="n">
        <v>46279</v>
      </c>
    </row>
    <row r="18" customFormat="false" ht="73.5" hidden="false" customHeight="true" outlineLevel="0" collapsed="false">
      <c r="A18" s="12" t="s">
        <v>875</v>
      </c>
      <c r="B18" s="12" t="s">
        <v>848</v>
      </c>
      <c r="C18" s="12" t="s">
        <v>876</v>
      </c>
      <c r="D18" s="43" t="s">
        <v>877</v>
      </c>
      <c r="E18" s="12" t="s">
        <v>878</v>
      </c>
      <c r="F18" s="26" t="n">
        <v>46279</v>
      </c>
    </row>
    <row r="19" customFormat="false" ht="73.5" hidden="false" customHeight="true" outlineLevel="0" collapsed="false">
      <c r="A19" s="12" t="s">
        <v>879</v>
      </c>
      <c r="B19" s="12" t="s">
        <v>880</v>
      </c>
      <c r="C19" s="12" t="s">
        <v>881</v>
      </c>
      <c r="D19" s="43" t="s">
        <v>882</v>
      </c>
      <c r="E19" s="12" t="s">
        <v>883</v>
      </c>
      <c r="F19" s="26" t="n">
        <v>46279</v>
      </c>
    </row>
    <row r="20" customFormat="false" ht="73.5" hidden="false" customHeight="true" outlineLevel="0" collapsed="false">
      <c r="A20" s="12" t="s">
        <v>884</v>
      </c>
      <c r="B20" s="12" t="s">
        <v>885</v>
      </c>
      <c r="C20" s="12" t="s">
        <v>886</v>
      </c>
      <c r="D20" s="43" t="s">
        <v>887</v>
      </c>
      <c r="E20" s="12" t="s">
        <v>888</v>
      </c>
      <c r="F20" s="26" t="n">
        <v>46279</v>
      </c>
    </row>
    <row r="21" customFormat="false" ht="15" hidden="false" customHeight="true" outlineLevel="0" collapsed="false">
      <c r="A21" s="2"/>
      <c r="B21" s="2"/>
      <c r="C21" s="2"/>
      <c r="D21" s="2"/>
      <c r="E21" s="2"/>
      <c r="F21" s="2"/>
    </row>
    <row r="22" customFormat="false" ht="15" hidden="false" customHeight="true" outlineLevel="0" collapsed="false">
      <c r="A22" s="2"/>
      <c r="B22" s="2"/>
      <c r="C22" s="2"/>
      <c r="D22" s="2"/>
      <c r="E22" s="2"/>
      <c r="F22" s="2"/>
    </row>
    <row r="23" customFormat="false" ht="27.75" hidden="false" customHeight="true" outlineLevel="0" collapsed="false">
      <c r="A23" s="4" t="s">
        <v>889</v>
      </c>
      <c r="B23" s="4"/>
      <c r="C23" s="4"/>
      <c r="D23" s="4"/>
      <c r="E23" s="4"/>
      <c r="F23" s="4"/>
    </row>
    <row r="24" customFormat="false" ht="27.75" hidden="false" customHeight="true" outlineLevel="0" collapsed="false">
      <c r="A24" s="4"/>
      <c r="B24" s="4"/>
      <c r="C24" s="4"/>
      <c r="D24" s="4"/>
      <c r="E24" s="4"/>
      <c r="F24" s="4"/>
    </row>
    <row r="25" customFormat="false" ht="27.75" hidden="false" customHeight="true" outlineLevel="0" collapsed="false">
      <c r="A25" s="4"/>
      <c r="B25" s="4"/>
      <c r="C25" s="4"/>
      <c r="D25" s="4"/>
      <c r="E25" s="4"/>
      <c r="F25" s="4"/>
    </row>
    <row r="26" customFormat="false" ht="15" hidden="false" customHeight="true" outlineLevel="0" collapsed="false">
      <c r="A26" s="2"/>
      <c r="B26" s="2"/>
      <c r="C26" s="2"/>
      <c r="D26" s="2"/>
      <c r="E26" s="2"/>
      <c r="F26" s="2"/>
    </row>
    <row r="27" customFormat="false" ht="27" hidden="false" customHeight="true" outlineLevel="0" collapsed="false">
      <c r="A27" s="4" t="s">
        <v>890</v>
      </c>
      <c r="B27" s="4"/>
      <c r="C27" s="4"/>
      <c r="D27" s="4"/>
      <c r="E27" s="4"/>
      <c r="F27" s="4"/>
    </row>
    <row r="28" customFormat="false" ht="27" hidden="false" customHeight="true" outlineLevel="0" collapsed="false">
      <c r="A28" s="4"/>
      <c r="B28" s="4"/>
      <c r="C28" s="4"/>
      <c r="D28" s="4"/>
      <c r="E28" s="4"/>
      <c r="F28" s="4"/>
    </row>
    <row r="29" customFormat="false" ht="27" hidden="false" customHeight="true" outlineLevel="0" collapsed="false">
      <c r="A29" s="4"/>
      <c r="B29" s="4"/>
      <c r="C29" s="4"/>
      <c r="D29" s="4"/>
      <c r="E29" s="4"/>
      <c r="F29" s="4"/>
    </row>
    <row r="30" customFormat="false" ht="27" hidden="false" customHeight="true" outlineLevel="0" collapsed="false">
      <c r="A30" s="4"/>
      <c r="B30" s="4"/>
      <c r="C30" s="4"/>
      <c r="D30" s="4"/>
      <c r="E30" s="4"/>
      <c r="F30" s="4"/>
    </row>
    <row r="31" customFormat="false" ht="15" hidden="false" customHeight="true" outlineLevel="0" collapsed="false">
      <c r="A31" s="2"/>
      <c r="B31" s="2"/>
      <c r="C31" s="2"/>
      <c r="D31" s="2"/>
      <c r="E31" s="2"/>
      <c r="F31" s="2"/>
    </row>
    <row r="32" customFormat="false" ht="27" hidden="false" customHeight="true" outlineLevel="0" collapsed="false">
      <c r="A32" s="4" t="s">
        <v>891</v>
      </c>
      <c r="B32" s="4"/>
      <c r="C32" s="4"/>
      <c r="D32" s="4"/>
      <c r="E32" s="4"/>
      <c r="F32" s="4"/>
    </row>
    <row r="33" customFormat="false" ht="27" hidden="false" customHeight="true" outlineLevel="0" collapsed="false">
      <c r="A33" s="4"/>
      <c r="B33" s="4"/>
      <c r="C33" s="4"/>
      <c r="D33" s="4"/>
      <c r="E33" s="4"/>
      <c r="F33" s="4"/>
    </row>
    <row r="34" customFormat="false" ht="27" hidden="false" customHeight="true" outlineLevel="0" collapsed="false">
      <c r="A34" s="4"/>
      <c r="B34" s="4"/>
      <c r="C34" s="4"/>
      <c r="D34" s="4"/>
      <c r="E34" s="4"/>
      <c r="F34" s="4"/>
    </row>
    <row r="35" customFormat="false" ht="27" hidden="false" customHeight="true" outlineLevel="0" collapsed="false">
      <c r="A35" s="4"/>
      <c r="B35" s="4"/>
      <c r="C35" s="4"/>
      <c r="D35" s="4"/>
      <c r="E35" s="4"/>
      <c r="F35" s="4"/>
    </row>
    <row r="36" customFormat="false" ht="15" hidden="false" customHeight="true" outlineLevel="0" collapsed="false">
      <c r="A36" s="2"/>
      <c r="B36" s="2"/>
      <c r="C36" s="2"/>
      <c r="D36" s="2"/>
      <c r="E36" s="2"/>
      <c r="F36" s="2"/>
    </row>
    <row r="37" customFormat="false" ht="15" hidden="false" customHeight="true" outlineLevel="0" collapsed="false">
      <c r="A37" s="2"/>
      <c r="B37" s="2"/>
      <c r="C37" s="2"/>
      <c r="D37" s="2"/>
      <c r="E37" s="2"/>
      <c r="F37" s="2"/>
    </row>
  </sheetData>
  <mergeCells count="5">
    <mergeCell ref="A2:F2"/>
    <mergeCell ref="A3:F3"/>
    <mergeCell ref="A23:F25"/>
    <mergeCell ref="A27:F30"/>
    <mergeCell ref="A32:F35"/>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2026-09-14T11:49:53Z</dcterms:created>
  <dc:creator>openpyxl</dc:creator>
  <dc:description/>
  <dc:language>en-US</dc:language>
  <cp:lastModifiedBy/>
  <dcterms:modified xsi:type="dcterms:W3CDTF">2026-09-14T11:52:15Z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